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Višnja\2025\PRORAČUN 2025\"/>
    </mc:Choice>
  </mc:AlternateContent>
  <xr:revisionPtr revIDLastSave="0" documentId="13_ncr:1_{7A55EF7E-0613-44F7-96E6-3431E9B5B4ED}" xr6:coauthVersionLast="47" xr6:coauthVersionMax="47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POSEBNI DIO" sheetId="3" state="hidden" r:id="rId1"/>
    <sheet name="Opći dio" sheetId="1" r:id="rId2"/>
    <sheet name="Posebni" sheetId="4" r:id="rId3"/>
  </sheets>
  <definedNames>
    <definedName name="BROJ_KONTA">'Opći dio'!$H$35</definedName>
    <definedName name="INDEKS_2006_2005">'Opći dio'!#REF!</definedName>
    <definedName name="_xlnm.Print_Titles" localSheetId="1">'Opći dio'!$34:$35</definedName>
    <definedName name="_xlnm.Print_Titles" localSheetId="2">Posebni!$5:$6</definedName>
    <definedName name="Ostv_2004.">'Opći dio'!$J$35</definedName>
    <definedName name="Plan_2005">'Opći dio'!$K$35</definedName>
    <definedName name="_xlnm.Print_Area" localSheetId="1">'Opći dio'!$A$1:$V$233</definedName>
    <definedName name="_xlnm.Print_Area" localSheetId="2">Posebni!$A$1:$O$586</definedName>
    <definedName name="_xlnm.Print_Area" localSheetId="0">'POSEBNI DIO'!$A$1:$J$499</definedName>
    <definedName name="Pozicija">#REF!</definedName>
    <definedName name="Procj_2005">'Opći dio'!$L$35</definedName>
    <definedName name="VRSTA_PRIHODA_IZDATAKA">'Opći dio'!$I$35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77" i="1" l="1"/>
  <c r="S178" i="1"/>
  <c r="Q177" i="1"/>
  <c r="N405" i="4"/>
  <c r="M405" i="4"/>
  <c r="K405" i="4"/>
  <c r="I405" i="4"/>
  <c r="G405" i="4"/>
  <c r="N41" i="4"/>
  <c r="Q146" i="1"/>
  <c r="S146" i="1"/>
  <c r="O146" i="1"/>
  <c r="J119" i="4"/>
  <c r="L119" i="4"/>
  <c r="H119" i="4"/>
  <c r="S153" i="1"/>
  <c r="Q153" i="1"/>
  <c r="O153" i="1"/>
  <c r="S123" i="1"/>
  <c r="Q123" i="1"/>
  <c r="O123" i="1"/>
  <c r="Q126" i="1"/>
  <c r="O126" i="1"/>
  <c r="S120" i="1"/>
  <c r="Q120" i="1"/>
  <c r="O177" i="1"/>
  <c r="Q191" i="1"/>
  <c r="O191" i="1"/>
  <c r="J462" i="4"/>
  <c r="L462" i="4"/>
  <c r="H462" i="4"/>
  <c r="S184" i="1"/>
  <c r="Q184" i="1"/>
  <c r="O184" i="1"/>
  <c r="S182" i="1"/>
  <c r="Q182" i="1"/>
  <c r="O182" i="1"/>
  <c r="J476" i="4"/>
  <c r="L476" i="4"/>
  <c r="H476" i="4"/>
  <c r="Q178" i="1"/>
  <c r="R178" i="1" s="1"/>
  <c r="N464" i="4"/>
  <c r="Q188" i="1"/>
  <c r="S188" i="1"/>
  <c r="O188" i="1"/>
  <c r="N573" i="4"/>
  <c r="N575" i="4"/>
  <c r="O563" i="4"/>
  <c r="O561" i="4"/>
  <c r="O560" i="4"/>
  <c r="N560" i="4"/>
  <c r="N561" i="4"/>
  <c r="N563" i="4"/>
  <c r="J557" i="4"/>
  <c r="L557" i="4"/>
  <c r="J562" i="4"/>
  <c r="L562" i="4"/>
  <c r="H562" i="4"/>
  <c r="H557" i="4"/>
  <c r="Q121" i="1"/>
  <c r="S121" i="1"/>
  <c r="O121" i="1"/>
  <c r="O559" i="4"/>
  <c r="N559" i="4"/>
  <c r="M559" i="4"/>
  <c r="K559" i="4"/>
  <c r="I559" i="4"/>
  <c r="G559" i="4"/>
  <c r="N541" i="4"/>
  <c r="N542" i="4"/>
  <c r="Q111" i="1"/>
  <c r="S111" i="1"/>
  <c r="O111" i="1"/>
  <c r="J547" i="4"/>
  <c r="J546" i="4" s="1"/>
  <c r="L547" i="4"/>
  <c r="L546" i="4" s="1"/>
  <c r="H547" i="4"/>
  <c r="H546" i="4" s="1"/>
  <c r="O549" i="4"/>
  <c r="N549" i="4"/>
  <c r="M549" i="4"/>
  <c r="K549" i="4"/>
  <c r="I549" i="4"/>
  <c r="G549" i="4"/>
  <c r="Q104" i="1"/>
  <c r="S104" i="1"/>
  <c r="O104" i="1"/>
  <c r="J543" i="4"/>
  <c r="L543" i="4"/>
  <c r="H543" i="4"/>
  <c r="O545" i="4"/>
  <c r="N545" i="4"/>
  <c r="M545" i="4"/>
  <c r="K545" i="4"/>
  <c r="I545" i="4"/>
  <c r="G545" i="4"/>
  <c r="J540" i="4"/>
  <c r="L540" i="4"/>
  <c r="H540" i="4"/>
  <c r="Q102" i="1"/>
  <c r="S102" i="1"/>
  <c r="O102" i="1"/>
  <c r="O542" i="4"/>
  <c r="M542" i="4"/>
  <c r="K542" i="4"/>
  <c r="I542" i="4"/>
  <c r="G542" i="4"/>
  <c r="J537" i="4"/>
  <c r="L537" i="4"/>
  <c r="H537" i="4"/>
  <c r="Q100" i="1"/>
  <c r="S100" i="1"/>
  <c r="O100" i="1"/>
  <c r="Q110" i="1"/>
  <c r="S110" i="1"/>
  <c r="O110" i="1"/>
  <c r="O539" i="4"/>
  <c r="N539" i="4"/>
  <c r="M539" i="4"/>
  <c r="K539" i="4"/>
  <c r="I539" i="4"/>
  <c r="G539" i="4"/>
  <c r="H438" i="4"/>
  <c r="O457" i="4"/>
  <c r="N457" i="4"/>
  <c r="M457" i="4"/>
  <c r="M456" i="4" s="1"/>
  <c r="M455" i="4" s="1"/>
  <c r="M454" i="4" s="1"/>
  <c r="K457" i="4"/>
  <c r="K456" i="4" s="1"/>
  <c r="K455" i="4" s="1"/>
  <c r="K454" i="4" s="1"/>
  <c r="I457" i="4"/>
  <c r="I456" i="4" s="1"/>
  <c r="I455" i="4" s="1"/>
  <c r="I454" i="4" s="1"/>
  <c r="G457" i="4"/>
  <c r="G456" i="4" s="1"/>
  <c r="G455" i="4" s="1"/>
  <c r="G454" i="4" s="1"/>
  <c r="L456" i="4"/>
  <c r="L455" i="4" s="1"/>
  <c r="L454" i="4" s="1"/>
  <c r="J456" i="4"/>
  <c r="H456" i="4"/>
  <c r="H455" i="4" s="1"/>
  <c r="H454" i="4" s="1"/>
  <c r="F456" i="4"/>
  <c r="F455" i="4" s="1"/>
  <c r="F454" i="4" s="1"/>
  <c r="J506" i="4"/>
  <c r="J505" i="4" s="1"/>
  <c r="L506" i="4"/>
  <c r="L505" i="4" s="1"/>
  <c r="I500" i="4"/>
  <c r="J500" i="4"/>
  <c r="K500" i="4"/>
  <c r="L500" i="4"/>
  <c r="H500" i="4"/>
  <c r="H364" i="4"/>
  <c r="J364" i="4"/>
  <c r="J363" i="4" s="1"/>
  <c r="M366" i="4"/>
  <c r="L366" i="4"/>
  <c r="K366" i="4"/>
  <c r="I366" i="4"/>
  <c r="G366" i="4"/>
  <c r="F366" i="4"/>
  <c r="P187" i="1"/>
  <c r="Q187" i="1"/>
  <c r="R187" i="1"/>
  <c r="S187" i="1"/>
  <c r="O187" i="1"/>
  <c r="M529" i="4"/>
  <c r="M528" i="4" s="1"/>
  <c r="M527" i="4" s="1"/>
  <c r="L529" i="4"/>
  <c r="L528" i="4" s="1"/>
  <c r="L527" i="4" s="1"/>
  <c r="K529" i="4"/>
  <c r="K528" i="4" s="1"/>
  <c r="K527" i="4" s="1"/>
  <c r="J529" i="4"/>
  <c r="J528" i="4" s="1"/>
  <c r="J527" i="4" s="1"/>
  <c r="I529" i="4"/>
  <c r="I528" i="4" s="1"/>
  <c r="I527" i="4" s="1"/>
  <c r="H529" i="4"/>
  <c r="H528" i="4" s="1"/>
  <c r="H527" i="4" s="1"/>
  <c r="G529" i="4"/>
  <c r="G528" i="4" s="1"/>
  <c r="G527" i="4" s="1"/>
  <c r="F529" i="4"/>
  <c r="F528" i="4" s="1"/>
  <c r="F527" i="4" s="1"/>
  <c r="N484" i="4" l="1"/>
  <c r="O562" i="4"/>
  <c r="N562" i="4"/>
  <c r="N540" i="4"/>
  <c r="H536" i="4"/>
  <c r="J536" i="4"/>
  <c r="L536" i="4"/>
  <c r="N456" i="4"/>
  <c r="O456" i="4"/>
  <c r="J455" i="4"/>
  <c r="O455" i="4" s="1"/>
  <c r="O500" i="4"/>
  <c r="N500" i="4"/>
  <c r="M522" i="4"/>
  <c r="M521" i="4" s="1"/>
  <c r="M520" i="4" s="1"/>
  <c r="M517" i="4" s="1"/>
  <c r="L522" i="4"/>
  <c r="L521" i="4" s="1"/>
  <c r="L520" i="4" s="1"/>
  <c r="L517" i="4" s="1"/>
  <c r="K522" i="4"/>
  <c r="K521" i="4" s="1"/>
  <c r="K520" i="4" s="1"/>
  <c r="K517" i="4" s="1"/>
  <c r="J522" i="4"/>
  <c r="J521" i="4" s="1"/>
  <c r="J520" i="4" s="1"/>
  <c r="J517" i="4" s="1"/>
  <c r="I522" i="4"/>
  <c r="I521" i="4" s="1"/>
  <c r="I520" i="4" s="1"/>
  <c r="I517" i="4" s="1"/>
  <c r="H522" i="4"/>
  <c r="H521" i="4" s="1"/>
  <c r="H520" i="4" s="1"/>
  <c r="H517" i="4" s="1"/>
  <c r="G522" i="4"/>
  <c r="G521" i="4" s="1"/>
  <c r="G520" i="4" s="1"/>
  <c r="G517" i="4" s="1"/>
  <c r="F522" i="4"/>
  <c r="F521" i="4" s="1"/>
  <c r="F520" i="4" s="1"/>
  <c r="F517" i="4" s="1"/>
  <c r="H506" i="4"/>
  <c r="H505" i="4" s="1"/>
  <c r="N507" i="4"/>
  <c r="M507" i="4"/>
  <c r="K507" i="4"/>
  <c r="I507" i="4"/>
  <c r="G507" i="4"/>
  <c r="Q109" i="1"/>
  <c r="S109" i="1"/>
  <c r="T109" i="1" s="1"/>
  <c r="O109" i="1"/>
  <c r="J578" i="4"/>
  <c r="J577" i="4" s="1"/>
  <c r="L578" i="4"/>
  <c r="L577" i="4" s="1"/>
  <c r="H578" i="4"/>
  <c r="H581" i="4"/>
  <c r="O580" i="4"/>
  <c r="M580" i="4"/>
  <c r="K580" i="4"/>
  <c r="G580" i="4"/>
  <c r="J574" i="4"/>
  <c r="L574" i="4"/>
  <c r="H574" i="4"/>
  <c r="O576" i="4"/>
  <c r="N576" i="4"/>
  <c r="M576" i="4"/>
  <c r="K576" i="4"/>
  <c r="I576" i="4"/>
  <c r="G576" i="4"/>
  <c r="J569" i="4"/>
  <c r="L569" i="4"/>
  <c r="H569" i="4"/>
  <c r="O571" i="4"/>
  <c r="N571" i="4"/>
  <c r="M571" i="4"/>
  <c r="K571" i="4"/>
  <c r="I571" i="4"/>
  <c r="G571" i="4"/>
  <c r="Q193" i="1"/>
  <c r="S193" i="1"/>
  <c r="O193" i="1"/>
  <c r="H469" i="4"/>
  <c r="O471" i="4"/>
  <c r="N471" i="4"/>
  <c r="M471" i="4"/>
  <c r="K471" i="4"/>
  <c r="I471" i="4"/>
  <c r="G471" i="4"/>
  <c r="O406" i="4"/>
  <c r="M406" i="4"/>
  <c r="K406" i="4"/>
  <c r="I406" i="4"/>
  <c r="G406" i="4"/>
  <c r="J374" i="4"/>
  <c r="O375" i="4"/>
  <c r="M375" i="4"/>
  <c r="K375" i="4"/>
  <c r="G375" i="4"/>
  <c r="H375" i="4" s="1"/>
  <c r="I375" i="4" s="1"/>
  <c r="J556" i="4"/>
  <c r="J555" i="4" s="1"/>
  <c r="L556" i="4"/>
  <c r="O169" i="1"/>
  <c r="H18" i="4"/>
  <c r="J16" i="4"/>
  <c r="L16" i="4"/>
  <c r="Q125" i="1"/>
  <c r="S125" i="1"/>
  <c r="Q122" i="1"/>
  <c r="S122" i="1"/>
  <c r="Q119" i="1"/>
  <c r="S119" i="1"/>
  <c r="Q117" i="1"/>
  <c r="S117" i="1"/>
  <c r="Q116" i="1"/>
  <c r="S116" i="1"/>
  <c r="Q115" i="1"/>
  <c r="S115" i="1"/>
  <c r="Q114" i="1"/>
  <c r="S114" i="1"/>
  <c r="Q113" i="1"/>
  <c r="S113" i="1"/>
  <c r="Q108" i="1"/>
  <c r="S108" i="1"/>
  <c r="K515" i="4"/>
  <c r="L515" i="4"/>
  <c r="K513" i="4"/>
  <c r="L513" i="4"/>
  <c r="J504" i="4"/>
  <c r="L504" i="4"/>
  <c r="I492" i="4"/>
  <c r="J492" i="4"/>
  <c r="K492" i="4"/>
  <c r="L492" i="4"/>
  <c r="J489" i="4"/>
  <c r="L489" i="4"/>
  <c r="J482" i="4"/>
  <c r="J481" i="4" s="1"/>
  <c r="J480" i="4" s="1"/>
  <c r="L482" i="4"/>
  <c r="L481" i="4" s="1"/>
  <c r="L480" i="4" s="1"/>
  <c r="J475" i="4"/>
  <c r="J474" i="4" s="1"/>
  <c r="L475" i="4"/>
  <c r="L474" i="4" s="1"/>
  <c r="J469" i="4"/>
  <c r="J468" i="4" s="1"/>
  <c r="J467" i="4" s="1"/>
  <c r="L469" i="4"/>
  <c r="L468" i="4" s="1"/>
  <c r="L467" i="4" s="1"/>
  <c r="J461" i="4"/>
  <c r="J460" i="4" s="1"/>
  <c r="L461" i="4"/>
  <c r="L460" i="4" s="1"/>
  <c r="J450" i="4"/>
  <c r="J449" i="4" s="1"/>
  <c r="J448" i="4" s="1"/>
  <c r="L450" i="4"/>
  <c r="L449" i="4" s="1"/>
  <c r="L448" i="4" s="1"/>
  <c r="J438" i="4"/>
  <c r="L438" i="4"/>
  <c r="J436" i="4"/>
  <c r="L436" i="4"/>
  <c r="I429" i="4"/>
  <c r="J429" i="4"/>
  <c r="K429" i="4"/>
  <c r="L429" i="4"/>
  <c r="I427" i="4"/>
  <c r="J427" i="4"/>
  <c r="K427" i="4"/>
  <c r="K426" i="4" s="1"/>
  <c r="K425" i="4" s="1"/>
  <c r="L427" i="4"/>
  <c r="I421" i="4"/>
  <c r="J421" i="4"/>
  <c r="K421" i="4"/>
  <c r="L421" i="4"/>
  <c r="J419" i="4"/>
  <c r="L419" i="4"/>
  <c r="J412" i="4"/>
  <c r="J411" i="4" s="1"/>
  <c r="J410" i="4" s="1"/>
  <c r="L412" i="4"/>
  <c r="L411" i="4" s="1"/>
  <c r="L410" i="4" s="1"/>
  <c r="J402" i="4"/>
  <c r="J401" i="4" s="1"/>
  <c r="J400" i="4" s="1"/>
  <c r="L402" i="4"/>
  <c r="L401" i="4" s="1"/>
  <c r="L400" i="4" s="1"/>
  <c r="J396" i="4"/>
  <c r="J395" i="4" s="1"/>
  <c r="J394" i="4" s="1"/>
  <c r="L396" i="4"/>
  <c r="L395" i="4" s="1"/>
  <c r="L394" i="4" s="1"/>
  <c r="J390" i="4"/>
  <c r="J389" i="4" s="1"/>
  <c r="J388" i="4" s="1"/>
  <c r="L390" i="4"/>
  <c r="L389" i="4" s="1"/>
  <c r="L388" i="4" s="1"/>
  <c r="I358" i="4"/>
  <c r="J358" i="4"/>
  <c r="K358" i="4"/>
  <c r="L358" i="4"/>
  <c r="I356" i="4"/>
  <c r="I355" i="4" s="1"/>
  <c r="I354" i="4" s="1"/>
  <c r="J356" i="4"/>
  <c r="J355" i="4" s="1"/>
  <c r="J354" i="4" s="1"/>
  <c r="K356" i="4"/>
  <c r="L356" i="4"/>
  <c r="J350" i="4"/>
  <c r="J349" i="4" s="1"/>
  <c r="J348" i="4" s="1"/>
  <c r="L350" i="4"/>
  <c r="L349" i="4" s="1"/>
  <c r="L348" i="4" s="1"/>
  <c r="J344" i="4"/>
  <c r="J343" i="4" s="1"/>
  <c r="J342" i="4" s="1"/>
  <c r="L344" i="4"/>
  <c r="L343" i="4" s="1"/>
  <c r="L342" i="4" s="1"/>
  <c r="J338" i="4"/>
  <c r="J337" i="4" s="1"/>
  <c r="J336" i="4" s="1"/>
  <c r="L338" i="4"/>
  <c r="L337" i="4" s="1"/>
  <c r="L336" i="4" s="1"/>
  <c r="J332" i="4"/>
  <c r="J331" i="4" s="1"/>
  <c r="J330" i="4" s="1"/>
  <c r="L332" i="4"/>
  <c r="L331" i="4" s="1"/>
  <c r="L330" i="4" s="1"/>
  <c r="J326" i="4"/>
  <c r="J325" i="4" s="1"/>
  <c r="J324" i="4" s="1"/>
  <c r="L326" i="4"/>
  <c r="L325" i="4" s="1"/>
  <c r="L324" i="4" s="1"/>
  <c r="J320" i="4"/>
  <c r="J319" i="4" s="1"/>
  <c r="J318" i="4" s="1"/>
  <c r="L320" i="4"/>
  <c r="L319" i="4" s="1"/>
  <c r="L318" i="4" s="1"/>
  <c r="J310" i="4"/>
  <c r="J309" i="4" s="1"/>
  <c r="L310" i="4"/>
  <c r="L309" i="4" s="1"/>
  <c r="J304" i="4"/>
  <c r="L304" i="4"/>
  <c r="J302" i="4"/>
  <c r="L302" i="4"/>
  <c r="J295" i="4"/>
  <c r="J294" i="4" s="1"/>
  <c r="J293" i="4" s="1"/>
  <c r="L295" i="4"/>
  <c r="L294" i="4" s="1"/>
  <c r="L293" i="4" s="1"/>
  <c r="J289" i="4"/>
  <c r="J288" i="4" s="1"/>
  <c r="J287" i="4" s="1"/>
  <c r="L289" i="4"/>
  <c r="L288" i="4" s="1"/>
  <c r="L287" i="4" s="1"/>
  <c r="J282" i="4"/>
  <c r="J281" i="4" s="1"/>
  <c r="J280" i="4" s="1"/>
  <c r="L282" i="4"/>
  <c r="L281" i="4" s="1"/>
  <c r="L280" i="4" s="1"/>
  <c r="J276" i="4"/>
  <c r="J275" i="4" s="1"/>
  <c r="J274" i="4" s="1"/>
  <c r="L276" i="4"/>
  <c r="L275" i="4" s="1"/>
  <c r="L274" i="4" s="1"/>
  <c r="J269" i="4"/>
  <c r="L269" i="4"/>
  <c r="J267" i="4"/>
  <c r="L267" i="4"/>
  <c r="J259" i="4"/>
  <c r="L259" i="4"/>
  <c r="J256" i="4"/>
  <c r="L256" i="4"/>
  <c r="J250" i="4"/>
  <c r="J249" i="4" s="1"/>
  <c r="J248" i="4" s="1"/>
  <c r="L250" i="4"/>
  <c r="L249" i="4" s="1"/>
  <c r="L248" i="4" s="1"/>
  <c r="J243" i="4"/>
  <c r="J242" i="4" s="1"/>
  <c r="J241" i="4" s="1"/>
  <c r="L243" i="4"/>
  <c r="L242" i="4" s="1"/>
  <c r="L241" i="4" s="1"/>
  <c r="J235" i="4"/>
  <c r="Q124" i="1" s="1"/>
  <c r="L235" i="4"/>
  <c r="S124" i="1" s="1"/>
  <c r="J228" i="4"/>
  <c r="J227" i="4" s="1"/>
  <c r="J226" i="4" s="1"/>
  <c r="L228" i="4"/>
  <c r="L227" i="4" s="1"/>
  <c r="L226" i="4" s="1"/>
  <c r="J222" i="4"/>
  <c r="J221" i="4" s="1"/>
  <c r="J220" i="4" s="1"/>
  <c r="L222" i="4"/>
  <c r="L221" i="4" s="1"/>
  <c r="L220" i="4" s="1"/>
  <c r="J216" i="4"/>
  <c r="J215" i="4" s="1"/>
  <c r="J214" i="4" s="1"/>
  <c r="L216" i="4"/>
  <c r="L215" i="4" s="1"/>
  <c r="L214" i="4" s="1"/>
  <c r="J210" i="4"/>
  <c r="J209" i="4" s="1"/>
  <c r="J208" i="4" s="1"/>
  <c r="L210" i="4"/>
  <c r="L209" i="4" s="1"/>
  <c r="L208" i="4" s="1"/>
  <c r="J203" i="4"/>
  <c r="L203" i="4"/>
  <c r="I201" i="4"/>
  <c r="J201" i="4"/>
  <c r="K201" i="4"/>
  <c r="L201" i="4"/>
  <c r="J197" i="4"/>
  <c r="J196" i="4" s="1"/>
  <c r="J195" i="4" s="1"/>
  <c r="L197" i="4"/>
  <c r="L196" i="4" s="1"/>
  <c r="L195" i="4" s="1"/>
  <c r="J190" i="4"/>
  <c r="J189" i="4" s="1"/>
  <c r="J188" i="4" s="1"/>
  <c r="L190" i="4"/>
  <c r="L189" i="4" s="1"/>
  <c r="L188" i="4" s="1"/>
  <c r="J183" i="4"/>
  <c r="J182" i="4" s="1"/>
  <c r="J181" i="4" s="1"/>
  <c r="L183" i="4"/>
  <c r="L182" i="4" s="1"/>
  <c r="L181" i="4" s="1"/>
  <c r="J177" i="4"/>
  <c r="J176" i="4" s="1"/>
  <c r="J175" i="4" s="1"/>
  <c r="L177" i="4"/>
  <c r="L176" i="4" s="1"/>
  <c r="L175" i="4" s="1"/>
  <c r="J164" i="4"/>
  <c r="J163" i="4" s="1"/>
  <c r="J162" i="4" s="1"/>
  <c r="L164" i="4"/>
  <c r="L163" i="4" s="1"/>
  <c r="L162" i="4" s="1"/>
  <c r="J156" i="4"/>
  <c r="J155" i="4" s="1"/>
  <c r="J154" i="4" s="1"/>
  <c r="L156" i="4"/>
  <c r="L155" i="4" s="1"/>
  <c r="L154" i="4" s="1"/>
  <c r="J148" i="4"/>
  <c r="L148" i="4"/>
  <c r="L147" i="4" s="1"/>
  <c r="L146" i="4" s="1"/>
  <c r="L143" i="4" s="1"/>
  <c r="J141" i="4"/>
  <c r="J140" i="4" s="1"/>
  <c r="J139" i="4" s="1"/>
  <c r="L141" i="4"/>
  <c r="L140" i="4" s="1"/>
  <c r="L139" i="4" s="1"/>
  <c r="J126" i="4"/>
  <c r="J125" i="4" s="1"/>
  <c r="J124" i="4" s="1"/>
  <c r="L126" i="4"/>
  <c r="L125" i="4" s="1"/>
  <c r="L124" i="4" s="1"/>
  <c r="J118" i="4"/>
  <c r="J117" i="4" s="1"/>
  <c r="L118" i="4"/>
  <c r="L117" i="4" s="1"/>
  <c r="J113" i="4"/>
  <c r="J112" i="4" s="1"/>
  <c r="J111" i="4" s="1"/>
  <c r="L113" i="4"/>
  <c r="L112" i="4" s="1"/>
  <c r="L111" i="4" s="1"/>
  <c r="J90" i="4"/>
  <c r="J89" i="4" s="1"/>
  <c r="J88" i="4" s="1"/>
  <c r="L90" i="4"/>
  <c r="L89" i="4" s="1"/>
  <c r="L88" i="4" s="1"/>
  <c r="J83" i="4"/>
  <c r="J82" i="4" s="1"/>
  <c r="J81" i="4" s="1"/>
  <c r="L83" i="4"/>
  <c r="L82" i="4" s="1"/>
  <c r="L81" i="4" s="1"/>
  <c r="J77" i="4"/>
  <c r="J76" i="4" s="1"/>
  <c r="J75" i="4" s="1"/>
  <c r="L77" i="4"/>
  <c r="L76" i="4" s="1"/>
  <c r="L75" i="4" s="1"/>
  <c r="J61" i="4"/>
  <c r="J60" i="4" s="1"/>
  <c r="L61" i="4"/>
  <c r="L60" i="4" s="1"/>
  <c r="J53" i="4"/>
  <c r="J52" i="4" s="1"/>
  <c r="L53" i="4"/>
  <c r="L52" i="4" s="1"/>
  <c r="J47" i="4"/>
  <c r="L47" i="4"/>
  <c r="J45" i="4"/>
  <c r="L45" i="4"/>
  <c r="J36" i="4"/>
  <c r="L36" i="4"/>
  <c r="J30" i="4"/>
  <c r="L30" i="4"/>
  <c r="J21" i="4"/>
  <c r="J20" i="4" s="1"/>
  <c r="L21" i="4"/>
  <c r="L20" i="4" s="1"/>
  <c r="J18" i="4"/>
  <c r="L18" i="4"/>
  <c r="J14" i="4"/>
  <c r="L14" i="4"/>
  <c r="I15" i="4"/>
  <c r="K15" i="4"/>
  <c r="H320" i="4"/>
  <c r="H356" i="4"/>
  <c r="H368" i="4"/>
  <c r="H367" i="4" s="1"/>
  <c r="H259" i="4"/>
  <c r="H235" i="4"/>
  <c r="O124" i="1" s="1"/>
  <c r="H363" i="4"/>
  <c r="O113" i="1"/>
  <c r="O149" i="4"/>
  <c r="N149" i="4"/>
  <c r="M149" i="4"/>
  <c r="M148" i="4" s="1"/>
  <c r="M147" i="4" s="1"/>
  <c r="M146" i="4" s="1"/>
  <c r="M143" i="4" s="1"/>
  <c r="K149" i="4"/>
  <c r="I149" i="4"/>
  <c r="I148" i="4" s="1"/>
  <c r="I147" i="4" s="1"/>
  <c r="I146" i="4" s="1"/>
  <c r="I143" i="4" s="1"/>
  <c r="G149" i="4"/>
  <c r="G148" i="4" s="1"/>
  <c r="G147" i="4" s="1"/>
  <c r="G146" i="4" s="1"/>
  <c r="G143" i="4" s="1"/>
  <c r="H148" i="4"/>
  <c r="H147" i="4" s="1"/>
  <c r="H146" i="4" s="1"/>
  <c r="H143" i="4" s="1"/>
  <c r="F148" i="4"/>
  <c r="F147" i="4" s="1"/>
  <c r="F146" i="4" s="1"/>
  <c r="F143" i="4" s="1"/>
  <c r="H99" i="4"/>
  <c r="H101" i="4"/>
  <c r="H103" i="4"/>
  <c r="H16" i="4"/>
  <c r="S154" i="1"/>
  <c r="Q154" i="1"/>
  <c r="O514" i="4"/>
  <c r="O516" i="4"/>
  <c r="N514" i="4"/>
  <c r="N516" i="4"/>
  <c r="J513" i="4"/>
  <c r="J515" i="4"/>
  <c r="N515" i="4" s="1"/>
  <c r="O428" i="4"/>
  <c r="O430" i="4"/>
  <c r="N428" i="4"/>
  <c r="N430" i="4"/>
  <c r="H429" i="4"/>
  <c r="H427" i="4"/>
  <c r="O154" i="1"/>
  <c r="O114" i="1"/>
  <c r="N552" i="4"/>
  <c r="O552" i="4"/>
  <c r="O383" i="4"/>
  <c r="O384" i="4"/>
  <c r="H383" i="4"/>
  <c r="O422" i="4"/>
  <c r="N422" i="4"/>
  <c r="H421" i="4"/>
  <c r="L498" i="4"/>
  <c r="O501" i="4"/>
  <c r="N501" i="4"/>
  <c r="J498" i="4"/>
  <c r="J497" i="4" s="1"/>
  <c r="J496" i="4" s="1"/>
  <c r="H498" i="4"/>
  <c r="O493" i="4"/>
  <c r="N493" i="4"/>
  <c r="H492" i="4"/>
  <c r="H489" i="4"/>
  <c r="N157" i="4"/>
  <c r="O159" i="4"/>
  <c r="N159" i="4"/>
  <c r="U29" i="1"/>
  <c r="V90" i="1"/>
  <c r="V93" i="1"/>
  <c r="V105" i="1"/>
  <c r="V96" i="1"/>
  <c r="U77" i="1"/>
  <c r="U79" i="1"/>
  <c r="U81" i="1"/>
  <c r="U82" i="1"/>
  <c r="U85" i="1"/>
  <c r="U86" i="1"/>
  <c r="U87" i="1"/>
  <c r="U96" i="1"/>
  <c r="U93" i="1"/>
  <c r="U90" i="1"/>
  <c r="V77" i="1"/>
  <c r="V79" i="1"/>
  <c r="V81" i="1"/>
  <c r="V82" i="1"/>
  <c r="V85" i="1"/>
  <c r="V86" i="1"/>
  <c r="V87" i="1"/>
  <c r="V66" i="1"/>
  <c r="V67" i="1"/>
  <c r="V69" i="1"/>
  <c r="V70" i="1"/>
  <c r="V71" i="1"/>
  <c r="V72" i="1"/>
  <c r="V73" i="1"/>
  <c r="V74" i="1"/>
  <c r="U66" i="1"/>
  <c r="U67" i="1"/>
  <c r="U69" i="1"/>
  <c r="U70" i="1"/>
  <c r="U71" i="1"/>
  <c r="U72" i="1"/>
  <c r="U73" i="1"/>
  <c r="U74" i="1"/>
  <c r="V59" i="1"/>
  <c r="V60" i="1"/>
  <c r="V62" i="1"/>
  <c r="V63" i="1"/>
  <c r="U59" i="1"/>
  <c r="U62" i="1"/>
  <c r="V41" i="1"/>
  <c r="V42" i="1"/>
  <c r="V43" i="1"/>
  <c r="V44" i="1"/>
  <c r="V45" i="1"/>
  <c r="V46" i="1"/>
  <c r="V47" i="1"/>
  <c r="V50" i="1"/>
  <c r="V52" i="1"/>
  <c r="V53" i="1"/>
  <c r="U41" i="1"/>
  <c r="U42" i="1"/>
  <c r="U43" i="1"/>
  <c r="U44" i="1"/>
  <c r="U45" i="1"/>
  <c r="U46" i="1"/>
  <c r="U47" i="1"/>
  <c r="U50" i="1"/>
  <c r="U52" i="1"/>
  <c r="U53" i="1"/>
  <c r="R43" i="1"/>
  <c r="O92" i="4"/>
  <c r="O93" i="4"/>
  <c r="O127" i="4"/>
  <c r="O135" i="4"/>
  <c r="O157" i="4"/>
  <c r="O158" i="4"/>
  <c r="O166" i="4"/>
  <c r="O167" i="4"/>
  <c r="O168" i="4"/>
  <c r="O169" i="4"/>
  <c r="O170" i="4"/>
  <c r="O171" i="4"/>
  <c r="O172" i="4"/>
  <c r="O211" i="4"/>
  <c r="O223" i="4"/>
  <c r="O244" i="4"/>
  <c r="O237" i="4"/>
  <c r="O236" i="4"/>
  <c r="O258" i="4"/>
  <c r="O260" i="4"/>
  <c r="O261" i="4"/>
  <c r="O270" i="4"/>
  <c r="O305" i="4"/>
  <c r="O311" i="4"/>
  <c r="O312" i="4"/>
  <c r="O359" i="4"/>
  <c r="O407" i="4"/>
  <c r="O414" i="4"/>
  <c r="O437" i="4"/>
  <c r="O439" i="4"/>
  <c r="O490" i="4"/>
  <c r="O491" i="4"/>
  <c r="O541" i="4"/>
  <c r="O544" i="4"/>
  <c r="O548" i="4"/>
  <c r="O551" i="4"/>
  <c r="O573" i="4"/>
  <c r="O575" i="4"/>
  <c r="O579" i="4"/>
  <c r="O570" i="4"/>
  <c r="O558" i="4"/>
  <c r="O538" i="4"/>
  <c r="O499" i="4"/>
  <c r="O477" i="4"/>
  <c r="O470" i="4"/>
  <c r="O463" i="4"/>
  <c r="O451" i="4"/>
  <c r="O420" i="4"/>
  <c r="O413" i="4"/>
  <c r="O397" i="4"/>
  <c r="O391" i="4"/>
  <c r="O382" i="4"/>
  <c r="O376" i="4"/>
  <c r="O357" i="4"/>
  <c r="O351" i="4"/>
  <c r="O345" i="4"/>
  <c r="O339" i="4"/>
  <c r="O333" i="4"/>
  <c r="O327" i="4"/>
  <c r="O321" i="4"/>
  <c r="O303" i="4"/>
  <c r="O296" i="4"/>
  <c r="O290" i="4"/>
  <c r="O283" i="4"/>
  <c r="O277" i="4"/>
  <c r="O268" i="4"/>
  <c r="O257" i="4"/>
  <c r="O251" i="4"/>
  <c r="O229" i="4"/>
  <c r="O204" i="4"/>
  <c r="O198" i="4"/>
  <c r="O191" i="4"/>
  <c r="O184" i="4"/>
  <c r="O178" i="4"/>
  <c r="O165" i="4"/>
  <c r="O142" i="4"/>
  <c r="O120" i="4"/>
  <c r="O114" i="4"/>
  <c r="O91" i="4"/>
  <c r="O84" i="4"/>
  <c r="O78" i="4"/>
  <c r="O72" i="4"/>
  <c r="O62" i="4"/>
  <c r="O31" i="4"/>
  <c r="N258" i="4"/>
  <c r="N260" i="4"/>
  <c r="N261" i="4"/>
  <c r="N268" i="4"/>
  <c r="N270" i="4"/>
  <c r="N257" i="4"/>
  <c r="N311" i="4"/>
  <c r="N312" i="4"/>
  <c r="N315" i="4"/>
  <c r="N305" i="4"/>
  <c r="N303" i="4"/>
  <c r="N357" i="4"/>
  <c r="N359" i="4"/>
  <c r="N403" i="4"/>
  <c r="N404" i="4"/>
  <c r="N414" i="4"/>
  <c r="N437" i="4"/>
  <c r="N439" i="4"/>
  <c r="N470" i="4"/>
  <c r="N490" i="4"/>
  <c r="N491" i="4"/>
  <c r="N544" i="4"/>
  <c r="N548" i="4"/>
  <c r="N551" i="4"/>
  <c r="N558" i="4"/>
  <c r="N570" i="4"/>
  <c r="N538" i="4"/>
  <c r="N508" i="4"/>
  <c r="N499" i="4"/>
  <c r="N477" i="4"/>
  <c r="N463" i="4"/>
  <c r="N451" i="4"/>
  <c r="N445" i="4"/>
  <c r="N420" i="4"/>
  <c r="N413" i="4"/>
  <c r="N397" i="4"/>
  <c r="N391" i="4"/>
  <c r="N351" i="4"/>
  <c r="N345" i="4"/>
  <c r="N339" i="4"/>
  <c r="N333" i="4"/>
  <c r="N327" i="4"/>
  <c r="N321" i="4"/>
  <c r="N296" i="4"/>
  <c r="N290" i="4"/>
  <c r="N283" i="4"/>
  <c r="N277" i="4"/>
  <c r="N251" i="4"/>
  <c r="N229" i="4"/>
  <c r="N244" i="4"/>
  <c r="N237" i="4"/>
  <c r="N236" i="4"/>
  <c r="N223" i="4"/>
  <c r="N211" i="4"/>
  <c r="N204" i="4"/>
  <c r="N198" i="4"/>
  <c r="N191" i="4"/>
  <c r="N184" i="4"/>
  <c r="N178" i="4"/>
  <c r="N165" i="4"/>
  <c r="N166" i="4"/>
  <c r="N167" i="4"/>
  <c r="N168" i="4"/>
  <c r="N169" i="4"/>
  <c r="N170" i="4"/>
  <c r="N171" i="4"/>
  <c r="N172" i="4"/>
  <c r="N158" i="4"/>
  <c r="N142" i="4"/>
  <c r="N135" i="4"/>
  <c r="N127" i="4"/>
  <c r="N120" i="4"/>
  <c r="N114" i="4"/>
  <c r="N91" i="4"/>
  <c r="N92" i="4"/>
  <c r="N93" i="4"/>
  <c r="N84" i="4"/>
  <c r="N78" i="4"/>
  <c r="N72" i="4"/>
  <c r="N62" i="4"/>
  <c r="N63" i="4"/>
  <c r="N64" i="4"/>
  <c r="N65" i="4"/>
  <c r="N66" i="4"/>
  <c r="N54" i="4"/>
  <c r="O63" i="4"/>
  <c r="O64" i="4"/>
  <c r="O65" i="4"/>
  <c r="O66" i="4"/>
  <c r="O32" i="4"/>
  <c r="O33" i="4"/>
  <c r="O34" i="4"/>
  <c r="O35" i="4"/>
  <c r="O37" i="4"/>
  <c r="O38" i="4"/>
  <c r="O39" i="4"/>
  <c r="O40" i="4"/>
  <c r="O41" i="4"/>
  <c r="O42" i="4"/>
  <c r="O43" i="4"/>
  <c r="O44" i="4"/>
  <c r="O46" i="4"/>
  <c r="O48" i="4"/>
  <c r="O49" i="4"/>
  <c r="O50" i="4"/>
  <c r="O51" i="4"/>
  <c r="O54" i="4"/>
  <c r="O55" i="4"/>
  <c r="O56" i="4"/>
  <c r="N55" i="4"/>
  <c r="N31" i="4"/>
  <c r="N32" i="4"/>
  <c r="N33" i="4"/>
  <c r="N34" i="4"/>
  <c r="N35" i="4"/>
  <c r="N37" i="4"/>
  <c r="N38" i="4"/>
  <c r="N39" i="4"/>
  <c r="N40" i="4"/>
  <c r="N42" i="4"/>
  <c r="N43" i="4"/>
  <c r="N44" i="4"/>
  <c r="N46" i="4"/>
  <c r="N48" i="4"/>
  <c r="N49" i="4"/>
  <c r="N50" i="4"/>
  <c r="N51" i="4"/>
  <c r="N56" i="4"/>
  <c r="O15" i="4"/>
  <c r="O17" i="4"/>
  <c r="O19" i="4"/>
  <c r="O22" i="4"/>
  <c r="O23" i="4"/>
  <c r="O24" i="4"/>
  <c r="O25" i="4"/>
  <c r="N15" i="4"/>
  <c r="N17" i="4"/>
  <c r="N19" i="4"/>
  <c r="N22" i="4"/>
  <c r="N23" i="4"/>
  <c r="N24" i="4"/>
  <c r="N25" i="4"/>
  <c r="M508" i="4"/>
  <c r="M506" i="4" s="1"/>
  <c r="M505" i="4" s="1"/>
  <c r="M504" i="4" s="1"/>
  <c r="K508" i="4"/>
  <c r="I508" i="4"/>
  <c r="G508" i="4"/>
  <c r="G506" i="4" s="1"/>
  <c r="G505" i="4" s="1"/>
  <c r="G504" i="4" s="1"/>
  <c r="F506" i="4"/>
  <c r="F505" i="4" s="1"/>
  <c r="F504" i="4" s="1"/>
  <c r="J426" i="4" l="1"/>
  <c r="J425" i="4" s="1"/>
  <c r="N574" i="4"/>
  <c r="H504" i="4"/>
  <c r="I14" i="4"/>
  <c r="K14" i="4"/>
  <c r="N455" i="4"/>
  <c r="J454" i="4"/>
  <c r="I506" i="4"/>
  <c r="K506" i="4"/>
  <c r="U109" i="1"/>
  <c r="I580" i="4"/>
  <c r="N580" i="4"/>
  <c r="J568" i="4"/>
  <c r="J567" i="4" s="1"/>
  <c r="I426" i="4"/>
  <c r="I425" i="4" s="1"/>
  <c r="J418" i="4"/>
  <c r="J417" i="4" s="1"/>
  <c r="J385" i="4" s="1"/>
  <c r="L568" i="4"/>
  <c r="L567" i="4" s="1"/>
  <c r="K355" i="4"/>
  <c r="K354" i="4" s="1"/>
  <c r="J488" i="4"/>
  <c r="J487" i="4" s="1"/>
  <c r="J13" i="4"/>
  <c r="J234" i="4"/>
  <c r="J233" i="4" s="1"/>
  <c r="J266" i="4"/>
  <c r="J265" i="4" s="1"/>
  <c r="J435" i="4"/>
  <c r="J434" i="4" s="1"/>
  <c r="L512" i="4"/>
  <c r="L511" i="4" s="1"/>
  <c r="O45" i="4"/>
  <c r="J301" i="4"/>
  <c r="J300" i="4" s="1"/>
  <c r="L418" i="4"/>
  <c r="L417" i="4" s="1"/>
  <c r="K512" i="4"/>
  <c r="K511" i="4" s="1"/>
  <c r="O16" i="4"/>
  <c r="L234" i="4"/>
  <c r="L233" i="4" s="1"/>
  <c r="J147" i="4"/>
  <c r="J146" i="4" s="1"/>
  <c r="O148" i="4"/>
  <c r="N16" i="4"/>
  <c r="O18" i="4"/>
  <c r="L426" i="4"/>
  <c r="L425" i="4" s="1"/>
  <c r="Q112" i="1"/>
  <c r="L355" i="4"/>
  <c r="L354" i="4" s="1"/>
  <c r="L435" i="4"/>
  <c r="L434" i="4" s="1"/>
  <c r="J535" i="4"/>
  <c r="J532" i="4" s="1"/>
  <c r="J255" i="4"/>
  <c r="J254" i="4" s="1"/>
  <c r="K148" i="4"/>
  <c r="K147" i="4" s="1"/>
  <c r="K146" i="4" s="1"/>
  <c r="K143" i="4" s="1"/>
  <c r="Q107" i="1"/>
  <c r="S112" i="1"/>
  <c r="S107" i="1"/>
  <c r="L555" i="4"/>
  <c r="L488" i="4"/>
  <c r="L487" i="4" s="1"/>
  <c r="L301" i="4"/>
  <c r="L300" i="4" s="1"/>
  <c r="L266" i="4"/>
  <c r="L265" i="4" s="1"/>
  <c r="L255" i="4"/>
  <c r="L254" i="4" s="1"/>
  <c r="L13" i="4"/>
  <c r="O14" i="4"/>
  <c r="N148" i="4"/>
  <c r="H98" i="4"/>
  <c r="N429" i="4"/>
  <c r="O513" i="4"/>
  <c r="N513" i="4"/>
  <c r="J512" i="4"/>
  <c r="J511" i="4" s="1"/>
  <c r="O515" i="4"/>
  <c r="N427" i="4"/>
  <c r="O429" i="4"/>
  <c r="O427" i="4"/>
  <c r="H426" i="4"/>
  <c r="H425" i="4" s="1"/>
  <c r="N421" i="4"/>
  <c r="O421" i="4"/>
  <c r="H497" i="4"/>
  <c r="H496" i="4" s="1"/>
  <c r="L497" i="4"/>
  <c r="L496" i="4" s="1"/>
  <c r="N492" i="4"/>
  <c r="H488" i="4"/>
  <c r="H487" i="4" s="1"/>
  <c r="O492" i="4"/>
  <c r="H362" i="4"/>
  <c r="V56" i="1"/>
  <c r="U56" i="1"/>
  <c r="N506" i="4"/>
  <c r="M483" i="4"/>
  <c r="H164" i="4"/>
  <c r="H156" i="4"/>
  <c r="H155" i="4" s="1"/>
  <c r="H154" i="4" s="1"/>
  <c r="F162" i="4"/>
  <c r="P29" i="1"/>
  <c r="R218" i="1"/>
  <c r="L385" i="4" l="1"/>
  <c r="K505" i="4"/>
  <c r="K504" i="4" s="1"/>
  <c r="I505" i="4"/>
  <c r="I504" i="4" s="1"/>
  <c r="N452" i="4"/>
  <c r="O452" i="4"/>
  <c r="N579" i="4"/>
  <c r="L535" i="4"/>
  <c r="L532" i="4" s="1"/>
  <c r="N147" i="4"/>
  <c r="O147" i="4"/>
  <c r="N512" i="4"/>
  <c r="O512" i="4"/>
  <c r="O426" i="4"/>
  <c r="O425" i="4"/>
  <c r="N425" i="4"/>
  <c r="N426" i="4"/>
  <c r="N505" i="4"/>
  <c r="O156" i="4"/>
  <c r="N156" i="4"/>
  <c r="O164" i="4"/>
  <c r="N164" i="4"/>
  <c r="N502" i="4"/>
  <c r="P218" i="1"/>
  <c r="N144" i="4" l="1"/>
  <c r="J143" i="4"/>
  <c r="O144" i="4"/>
  <c r="O511" i="4"/>
  <c r="N511" i="4"/>
  <c r="V57" i="1"/>
  <c r="U57" i="1"/>
  <c r="O163" i="4"/>
  <c r="M581" i="4"/>
  <c r="M579" i="4"/>
  <c r="M578" i="4" s="1"/>
  <c r="M577" i="4" s="1"/>
  <c r="M575" i="4"/>
  <c r="M574" i="4" s="1"/>
  <c r="M572" i="4"/>
  <c r="M570" i="4"/>
  <c r="M569" i="4" s="1"/>
  <c r="M563" i="4"/>
  <c r="M562" i="4" s="1"/>
  <c r="M558" i="4"/>
  <c r="M557" i="4" s="1"/>
  <c r="M551" i="4"/>
  <c r="M550" i="4" s="1"/>
  <c r="M548" i="4"/>
  <c r="M547" i="4" s="1"/>
  <c r="M544" i="4"/>
  <c r="M543" i="4" s="1"/>
  <c r="M541" i="4"/>
  <c r="M540" i="4" s="1"/>
  <c r="M538" i="4"/>
  <c r="M537" i="4" s="1"/>
  <c r="M499" i="4"/>
  <c r="M498" i="4" s="1"/>
  <c r="M497" i="4" s="1"/>
  <c r="M496" i="4" s="1"/>
  <c r="M491" i="4"/>
  <c r="M489" i="4" s="1"/>
  <c r="M488" i="4" s="1"/>
  <c r="M487" i="4" s="1"/>
  <c r="M477" i="4"/>
  <c r="M476" i="4" s="1"/>
  <c r="M475" i="4" s="1"/>
  <c r="M474" i="4" s="1"/>
  <c r="M470" i="4"/>
  <c r="M469" i="4" s="1"/>
  <c r="M468" i="4" s="1"/>
  <c r="M463" i="4"/>
  <c r="M462" i="4" s="1"/>
  <c r="M461" i="4" s="1"/>
  <c r="M460" i="4" s="1"/>
  <c r="M451" i="4"/>
  <c r="M450" i="4" s="1"/>
  <c r="M449" i="4" s="1"/>
  <c r="M448" i="4" s="1"/>
  <c r="M445" i="4"/>
  <c r="M444" i="4" s="1"/>
  <c r="M443" i="4" s="1"/>
  <c r="M442" i="4" s="1"/>
  <c r="M439" i="4"/>
  <c r="M438" i="4" s="1"/>
  <c r="M437" i="4"/>
  <c r="M436" i="4" s="1"/>
  <c r="M420" i="4"/>
  <c r="M419" i="4" s="1"/>
  <c r="M418" i="4" s="1"/>
  <c r="M417" i="4" s="1"/>
  <c r="M414" i="4"/>
  <c r="M413" i="4"/>
  <c r="M407" i="4"/>
  <c r="M404" i="4"/>
  <c r="M403" i="4"/>
  <c r="M397" i="4"/>
  <c r="M396" i="4" s="1"/>
  <c r="M395" i="4" s="1"/>
  <c r="M394" i="4" s="1"/>
  <c r="M391" i="4"/>
  <c r="M390" i="4" s="1"/>
  <c r="M389" i="4" s="1"/>
  <c r="M388" i="4" s="1"/>
  <c r="M382" i="4"/>
  <c r="M381" i="4" s="1"/>
  <c r="M380" i="4" s="1"/>
  <c r="M379" i="4" s="1"/>
  <c r="M376" i="4"/>
  <c r="M374" i="4" s="1"/>
  <c r="M373" i="4" s="1"/>
  <c r="M372" i="4" s="1"/>
  <c r="M367" i="4"/>
  <c r="M365" i="4" s="1"/>
  <c r="M363" i="4" s="1"/>
  <c r="M362" i="4" s="1"/>
  <c r="M359" i="4"/>
  <c r="M358" i="4" s="1"/>
  <c r="M357" i="4"/>
  <c r="M356" i="4" s="1"/>
  <c r="M351" i="4"/>
  <c r="M350" i="4" s="1"/>
  <c r="M349" i="4" s="1"/>
  <c r="M348" i="4" s="1"/>
  <c r="M345" i="4"/>
  <c r="M344" i="4" s="1"/>
  <c r="M343" i="4" s="1"/>
  <c r="M342" i="4" s="1"/>
  <c r="M339" i="4"/>
  <c r="M338" i="4" s="1"/>
  <c r="M337" i="4" s="1"/>
  <c r="M336" i="4" s="1"/>
  <c r="M333" i="4"/>
  <c r="M332" i="4" s="1"/>
  <c r="M331" i="4" s="1"/>
  <c r="M330" i="4" s="1"/>
  <c r="M327" i="4"/>
  <c r="M326" i="4" s="1"/>
  <c r="M325" i="4" s="1"/>
  <c r="M324" i="4" s="1"/>
  <c r="M321" i="4"/>
  <c r="M320" i="4" s="1"/>
  <c r="M319" i="4" s="1"/>
  <c r="M318" i="4" s="1"/>
  <c r="M314" i="4"/>
  <c r="M313" i="4" s="1"/>
  <c r="M312" i="4"/>
  <c r="M311" i="4"/>
  <c r="M305" i="4"/>
  <c r="M304" i="4" s="1"/>
  <c r="M303" i="4"/>
  <c r="M302" i="4" s="1"/>
  <c r="M296" i="4"/>
  <c r="M295" i="4" s="1"/>
  <c r="M294" i="4" s="1"/>
  <c r="M293" i="4" s="1"/>
  <c r="M290" i="4"/>
  <c r="M289" i="4" s="1"/>
  <c r="M288" i="4" s="1"/>
  <c r="M287" i="4" s="1"/>
  <c r="M283" i="4"/>
  <c r="M282" i="4" s="1"/>
  <c r="M281" i="4" s="1"/>
  <c r="M280" i="4" s="1"/>
  <c r="M277" i="4"/>
  <c r="M276" i="4" s="1"/>
  <c r="M275" i="4" s="1"/>
  <c r="M274" i="4" s="1"/>
  <c r="M270" i="4"/>
  <c r="M269" i="4" s="1"/>
  <c r="M268" i="4"/>
  <c r="M267" i="4" s="1"/>
  <c r="M261" i="4"/>
  <c r="M260" i="4"/>
  <c r="M258" i="4"/>
  <c r="M257" i="4"/>
  <c r="M251" i="4"/>
  <c r="M250" i="4" s="1"/>
  <c r="M249" i="4" s="1"/>
  <c r="M248" i="4" s="1"/>
  <c r="M244" i="4"/>
  <c r="M243" i="4" s="1"/>
  <c r="M242" i="4" s="1"/>
  <c r="M241" i="4" s="1"/>
  <c r="M238" i="4" s="1"/>
  <c r="M237" i="4"/>
  <c r="M236" i="4"/>
  <c r="M229" i="4"/>
  <c r="M228" i="4" s="1"/>
  <c r="M227" i="4" s="1"/>
  <c r="M226" i="4" s="1"/>
  <c r="M223" i="4"/>
  <c r="M222" i="4" s="1"/>
  <c r="M221" i="4" s="1"/>
  <c r="M220" i="4" s="1"/>
  <c r="M211" i="4"/>
  <c r="M210" i="4" s="1"/>
  <c r="M209" i="4" s="1"/>
  <c r="M204" i="4"/>
  <c r="M198" i="4"/>
  <c r="M197" i="4" s="1"/>
  <c r="M196" i="4" s="1"/>
  <c r="M195" i="4" s="1"/>
  <c r="M191" i="4"/>
  <c r="M190" i="4" s="1"/>
  <c r="M189" i="4" s="1"/>
  <c r="M188" i="4" s="1"/>
  <c r="M185" i="4" s="1"/>
  <c r="M184" i="4"/>
  <c r="M183" i="4" s="1"/>
  <c r="M182" i="4" s="1"/>
  <c r="M181" i="4" s="1"/>
  <c r="M178" i="4"/>
  <c r="M177" i="4" s="1"/>
  <c r="M176" i="4" s="1"/>
  <c r="M175" i="4" s="1"/>
  <c r="M172" i="4"/>
  <c r="M171" i="4"/>
  <c r="M170" i="4"/>
  <c r="M169" i="4"/>
  <c r="M168" i="4"/>
  <c r="M167" i="4"/>
  <c r="M166" i="4"/>
  <c r="M158" i="4"/>
  <c r="M165" i="4"/>
  <c r="M157" i="4"/>
  <c r="M142" i="4"/>
  <c r="M141" i="4" s="1"/>
  <c r="M140" i="4" s="1"/>
  <c r="M139" i="4" s="1"/>
  <c r="M136" i="4" s="1"/>
  <c r="M135" i="4"/>
  <c r="M127" i="4"/>
  <c r="M126" i="4" s="1"/>
  <c r="M125" i="4" s="1"/>
  <c r="M124" i="4" s="1"/>
  <c r="M121" i="4" s="1"/>
  <c r="M120" i="4"/>
  <c r="M114" i="4"/>
  <c r="M113" i="4" s="1"/>
  <c r="M112" i="4" s="1"/>
  <c r="M111" i="4" s="1"/>
  <c r="M93" i="4"/>
  <c r="M92" i="4"/>
  <c r="M91" i="4"/>
  <c r="M84" i="4"/>
  <c r="M83" i="4" s="1"/>
  <c r="M82" i="4" s="1"/>
  <c r="M81" i="4" s="1"/>
  <c r="M78" i="4"/>
  <c r="M77" i="4" s="1"/>
  <c r="M76" i="4" s="1"/>
  <c r="M75" i="4" s="1"/>
  <c r="M72" i="4"/>
  <c r="M71" i="4" s="1"/>
  <c r="M70" i="4" s="1"/>
  <c r="M69" i="4" s="1"/>
  <c r="M66" i="4"/>
  <c r="M65" i="4"/>
  <c r="M64" i="4"/>
  <c r="M63" i="4"/>
  <c r="M62" i="4"/>
  <c r="M56" i="4"/>
  <c r="M55" i="4"/>
  <c r="M54" i="4"/>
  <c r="M51" i="4"/>
  <c r="M50" i="4"/>
  <c r="M49" i="4"/>
  <c r="M48" i="4"/>
  <c r="M46" i="4"/>
  <c r="M45" i="4" s="1"/>
  <c r="M44" i="4"/>
  <c r="M43" i="4"/>
  <c r="M42" i="4"/>
  <c r="M41" i="4"/>
  <c r="M40" i="4"/>
  <c r="M39" i="4"/>
  <c r="M38" i="4"/>
  <c r="M37" i="4"/>
  <c r="M34" i="4"/>
  <c r="M33" i="4"/>
  <c r="M32" i="4"/>
  <c r="M31" i="4"/>
  <c r="M25" i="4"/>
  <c r="M24" i="4"/>
  <c r="M23" i="4"/>
  <c r="M22" i="4"/>
  <c r="M19" i="4"/>
  <c r="M18" i="4" s="1"/>
  <c r="M17" i="4"/>
  <c r="M16" i="4" s="1"/>
  <c r="M15" i="4"/>
  <c r="M14" i="4" s="1"/>
  <c r="T217" i="1"/>
  <c r="T216" i="1" s="1"/>
  <c r="T215" i="1" s="1"/>
  <c r="T28" i="1" s="1"/>
  <c r="T211" i="1"/>
  <c r="T210" i="1" s="1"/>
  <c r="T208" i="1"/>
  <c r="T205" i="1"/>
  <c r="T204" i="1" s="1"/>
  <c r="T201" i="1"/>
  <c r="T200" i="1" s="1"/>
  <c r="T198" i="1"/>
  <c r="T197" i="1"/>
  <c r="T192" i="1"/>
  <c r="T187" i="1"/>
  <c r="T167" i="1"/>
  <c r="T166" i="1" s="1"/>
  <c r="T165" i="1"/>
  <c r="T164" i="1"/>
  <c r="T137" i="1"/>
  <c r="T96" i="1"/>
  <c r="T95" i="1" s="1"/>
  <c r="T94" i="1" s="1"/>
  <c r="T93" i="1"/>
  <c r="T92" i="1" s="1"/>
  <c r="T91" i="1" s="1"/>
  <c r="T90" i="1"/>
  <c r="T89" i="1" s="1"/>
  <c r="T88" i="1" s="1"/>
  <c r="T87" i="1"/>
  <c r="T86" i="1"/>
  <c r="T85" i="1"/>
  <c r="T83" i="1"/>
  <c r="T82" i="1"/>
  <c r="T81" i="1"/>
  <c r="T79" i="1"/>
  <c r="T78" i="1"/>
  <c r="T77" i="1"/>
  <c r="T74" i="1"/>
  <c r="T73" i="1"/>
  <c r="T72" i="1"/>
  <c r="T71" i="1"/>
  <c r="T70" i="1"/>
  <c r="T69" i="1"/>
  <c r="T67" i="1"/>
  <c r="T66" i="1"/>
  <c r="T63" i="1"/>
  <c r="T62" i="1"/>
  <c r="T59" i="1"/>
  <c r="T58" i="1" s="1"/>
  <c r="T57" i="1"/>
  <c r="T56" i="1"/>
  <c r="T53" i="1"/>
  <c r="T52" i="1"/>
  <c r="T50" i="1"/>
  <c r="T49" i="1"/>
  <c r="T47" i="1"/>
  <c r="T46" i="1"/>
  <c r="T45" i="1"/>
  <c r="T44" i="1"/>
  <c r="T43" i="1"/>
  <c r="T42" i="1"/>
  <c r="T41" i="1"/>
  <c r="S217" i="1"/>
  <c r="S216" i="1" s="1"/>
  <c r="S210" i="1"/>
  <c r="S208" i="1"/>
  <c r="S205" i="1"/>
  <c r="S204" i="1" s="1"/>
  <c r="S201" i="1"/>
  <c r="S200" i="1" s="1"/>
  <c r="S198" i="1"/>
  <c r="S197" i="1" s="1"/>
  <c r="S192" i="1"/>
  <c r="S186" i="1"/>
  <c r="T186" i="1" s="1"/>
  <c r="S183" i="1"/>
  <c r="S181" i="1"/>
  <c r="T181" i="1" s="1"/>
  <c r="S180" i="1"/>
  <c r="T176" i="1"/>
  <c r="S173" i="1"/>
  <c r="S169" i="1"/>
  <c r="S168" i="1" s="1"/>
  <c r="S166" i="1"/>
  <c r="S163" i="1"/>
  <c r="S162" i="1"/>
  <c r="S161" i="1" s="1"/>
  <c r="S160" i="1"/>
  <c r="S158" i="1"/>
  <c r="T158" i="1" s="1"/>
  <c r="T154" i="1"/>
  <c r="T153" i="1"/>
  <c r="T150" i="1"/>
  <c r="S145" i="1"/>
  <c r="S142" i="1"/>
  <c r="T142" i="1" s="1"/>
  <c r="S141" i="1"/>
  <c r="T141" i="1" s="1"/>
  <c r="S140" i="1"/>
  <c r="S137" i="1"/>
  <c r="S135" i="1"/>
  <c r="T135" i="1" s="1"/>
  <c r="S134" i="1"/>
  <c r="S133" i="1"/>
  <c r="T133" i="1" s="1"/>
  <c r="S132" i="1"/>
  <c r="T132" i="1" s="1"/>
  <c r="S131" i="1"/>
  <c r="T131" i="1" s="1"/>
  <c r="S128" i="1"/>
  <c r="T128" i="1" s="1"/>
  <c r="T127" i="1" s="1"/>
  <c r="T125" i="1"/>
  <c r="T124" i="1"/>
  <c r="T122" i="1"/>
  <c r="T121" i="1"/>
  <c r="T119" i="1"/>
  <c r="T116" i="1"/>
  <c r="T114" i="1"/>
  <c r="T113" i="1"/>
  <c r="T111" i="1"/>
  <c r="T110" i="1"/>
  <c r="T108" i="1"/>
  <c r="T104" i="1"/>
  <c r="T103" i="1" s="1"/>
  <c r="S101" i="1"/>
  <c r="S99" i="1"/>
  <c r="S95" i="1"/>
  <c r="S94" i="1" s="1"/>
  <c r="S16" i="1" s="1"/>
  <c r="T16" i="1" s="1"/>
  <c r="S92" i="1"/>
  <c r="S89" i="1"/>
  <c r="S84" i="1"/>
  <c r="S80" i="1"/>
  <c r="S76" i="1"/>
  <c r="S68" i="1"/>
  <c r="S65" i="1"/>
  <c r="S61" i="1"/>
  <c r="S55" i="1"/>
  <c r="S51" i="1"/>
  <c r="S48" i="1"/>
  <c r="S40" i="1"/>
  <c r="L581" i="4"/>
  <c r="L572" i="4"/>
  <c r="L444" i="4"/>
  <c r="L443" i="4" s="1"/>
  <c r="L442" i="4" s="1"/>
  <c r="L431" i="4" s="1"/>
  <c r="L381" i="4"/>
  <c r="L380" i="4" s="1"/>
  <c r="L379" i="4" s="1"/>
  <c r="L374" i="4"/>
  <c r="L373" i="4" s="1"/>
  <c r="L372" i="4" s="1"/>
  <c r="L365" i="4"/>
  <c r="S191" i="1" s="1"/>
  <c r="L314" i="4"/>
  <c r="L313" i="4" s="1"/>
  <c r="L308" i="4" s="1"/>
  <c r="L238" i="4"/>
  <c r="L185" i="4"/>
  <c r="L136" i="4"/>
  <c r="L121" i="4"/>
  <c r="L85" i="4"/>
  <c r="L71" i="4"/>
  <c r="L59" i="4"/>
  <c r="R167" i="1"/>
  <c r="R165" i="1"/>
  <c r="R164" i="1"/>
  <c r="L70" i="4" l="1"/>
  <c r="L69" i="4" s="1"/>
  <c r="L363" i="4"/>
  <c r="L362" i="4" s="1"/>
  <c r="L297" i="4" s="1"/>
  <c r="L364" i="4"/>
  <c r="T65" i="1"/>
  <c r="T163" i="1"/>
  <c r="N143" i="4"/>
  <c r="O143" i="4"/>
  <c r="M467" i="4"/>
  <c r="T182" i="1"/>
  <c r="T123" i="1"/>
  <c r="S172" i="1"/>
  <c r="S88" i="1"/>
  <c r="T115" i="1"/>
  <c r="T146" i="1"/>
  <c r="T177" i="1"/>
  <c r="T183" i="1"/>
  <c r="T117" i="1"/>
  <c r="V58" i="1"/>
  <c r="S91" i="1"/>
  <c r="T134" i="1"/>
  <c r="S159" i="1"/>
  <c r="T184" i="1"/>
  <c r="S215" i="1"/>
  <c r="T145" i="1"/>
  <c r="S64" i="1"/>
  <c r="T48" i="1"/>
  <c r="T68" i="1"/>
  <c r="T84" i="1"/>
  <c r="O160" i="4"/>
  <c r="M235" i="4"/>
  <c r="M234" i="4" s="1"/>
  <c r="M233" i="4" s="1"/>
  <c r="M271" i="4"/>
  <c r="M164" i="4"/>
  <c r="M163" i="4" s="1"/>
  <c r="M162" i="4" s="1"/>
  <c r="M156" i="4"/>
  <c r="S196" i="1"/>
  <c r="S23" i="1" s="1"/>
  <c r="T80" i="1"/>
  <c r="S75" i="1"/>
  <c r="T76" i="1"/>
  <c r="T196" i="1"/>
  <c r="T23" i="1" s="1"/>
  <c r="T207" i="1"/>
  <c r="T203" i="1" s="1"/>
  <c r="T24" i="1" s="1"/>
  <c r="T40" i="1"/>
  <c r="S207" i="1"/>
  <c r="S203" i="1" s="1"/>
  <c r="S24" i="1" s="1"/>
  <c r="T51" i="1"/>
  <c r="M546" i="4"/>
  <c r="M412" i="4"/>
  <c r="M411" i="4" s="1"/>
  <c r="M410" i="4" s="1"/>
  <c r="M266" i="4"/>
  <c r="M265" i="4" s="1"/>
  <c r="M262" i="4" s="1"/>
  <c r="S144" i="1"/>
  <c r="M36" i="4"/>
  <c r="M259" i="4"/>
  <c r="T160" i="1"/>
  <c r="T159" i="1" s="1"/>
  <c r="S103" i="1"/>
  <c r="S98" i="1" s="1"/>
  <c r="S127" i="1"/>
  <c r="T173" i="1"/>
  <c r="T172" i="1" s="1"/>
  <c r="T171" i="1" s="1"/>
  <c r="M13" i="4"/>
  <c r="M30" i="4"/>
  <c r="M536" i="4"/>
  <c r="M203" i="4"/>
  <c r="M202" i="4" s="1"/>
  <c r="M201" i="4" s="1"/>
  <c r="M192" i="4" s="1"/>
  <c r="S179" i="1"/>
  <c r="M119" i="4"/>
  <c r="M118" i="4" s="1"/>
  <c r="M256" i="4"/>
  <c r="M568" i="4"/>
  <c r="M567" i="4" s="1"/>
  <c r="M564" i="4" s="1"/>
  <c r="T107" i="1"/>
  <c r="T100" i="1"/>
  <c r="T99" i="1" s="1"/>
  <c r="T162" i="1"/>
  <c r="T161" i="1" s="1"/>
  <c r="T180" i="1"/>
  <c r="M21" i="4"/>
  <c r="M20" i="4" s="1"/>
  <c r="M90" i="4"/>
  <c r="M89" i="4" s="1"/>
  <c r="M88" i="4" s="1"/>
  <c r="M85" i="4" s="1"/>
  <c r="M355" i="4"/>
  <c r="M354" i="4" s="1"/>
  <c r="L29" i="4"/>
  <c r="L28" i="4" s="1"/>
  <c r="T152" i="1"/>
  <c r="T151" i="1" s="1"/>
  <c r="T102" i="1"/>
  <c r="T101" i="1" s="1"/>
  <c r="M47" i="4"/>
  <c r="M61" i="4"/>
  <c r="M60" i="4" s="1"/>
  <c r="M59" i="4" s="1"/>
  <c r="M284" i="4"/>
  <c r="M310" i="4"/>
  <c r="M309" i="4" s="1"/>
  <c r="M308" i="4" s="1"/>
  <c r="M435" i="4"/>
  <c r="M434" i="4" s="1"/>
  <c r="S139" i="1"/>
  <c r="S136" i="1" s="1"/>
  <c r="T140" i="1"/>
  <c r="T139" i="1" s="1"/>
  <c r="T136" i="1" s="1"/>
  <c r="M53" i="4"/>
  <c r="M52" i="4" s="1"/>
  <c r="S39" i="1"/>
  <c r="T55" i="1"/>
  <c r="T169" i="1"/>
  <c r="T168" i="1" s="1"/>
  <c r="M301" i="4"/>
  <c r="M300" i="4" s="1"/>
  <c r="S152" i="1"/>
  <c r="S151" i="1" s="1"/>
  <c r="T61" i="1"/>
  <c r="S54" i="1"/>
  <c r="M402" i="4"/>
  <c r="M401" i="4" s="1"/>
  <c r="M400" i="4" s="1"/>
  <c r="M556" i="4"/>
  <c r="M555" i="4" s="1"/>
  <c r="L12" i="4"/>
  <c r="L284" i="4"/>
  <c r="J581" i="4"/>
  <c r="O574" i="4"/>
  <c r="J572" i="4"/>
  <c r="K563" i="4"/>
  <c r="K562" i="4" s="1"/>
  <c r="O547" i="4"/>
  <c r="O543" i="4"/>
  <c r="K541" i="4"/>
  <c r="K540" i="4" s="1"/>
  <c r="O540" i="4"/>
  <c r="J444" i="4"/>
  <c r="J443" i="4" s="1"/>
  <c r="J442" i="4" s="1"/>
  <c r="J431" i="4" s="1"/>
  <c r="O438" i="4"/>
  <c r="O436" i="4"/>
  <c r="J381" i="4"/>
  <c r="J362" i="4"/>
  <c r="O338" i="4"/>
  <c r="O320" i="4"/>
  <c r="J314" i="4"/>
  <c r="O276" i="4"/>
  <c r="O269" i="4"/>
  <c r="O250" i="4"/>
  <c r="O222" i="4"/>
  <c r="O177" i="4"/>
  <c r="O119" i="4"/>
  <c r="J71" i="4"/>
  <c r="J70" i="4" s="1"/>
  <c r="O47" i="4"/>
  <c r="O36" i="4"/>
  <c r="O30" i="4"/>
  <c r="K581" i="4"/>
  <c r="K579" i="4"/>
  <c r="K575" i="4"/>
  <c r="K574" i="4" s="1"/>
  <c r="K572" i="4"/>
  <c r="K570" i="4"/>
  <c r="K569" i="4" s="1"/>
  <c r="K558" i="4"/>
  <c r="K557" i="4" s="1"/>
  <c r="K551" i="4"/>
  <c r="K550" i="4" s="1"/>
  <c r="K548" i="4"/>
  <c r="K547" i="4" s="1"/>
  <c r="K544" i="4"/>
  <c r="K543" i="4" s="1"/>
  <c r="K538" i="4"/>
  <c r="K499" i="4"/>
  <c r="K491" i="4"/>
  <c r="K489" i="4" s="1"/>
  <c r="K488" i="4" s="1"/>
  <c r="K487" i="4" s="1"/>
  <c r="K477" i="4"/>
  <c r="K470" i="4"/>
  <c r="K463" i="4"/>
  <c r="K462" i="4" s="1"/>
  <c r="K451" i="4"/>
  <c r="K450" i="4" s="1"/>
  <c r="K449" i="4" s="1"/>
  <c r="K448" i="4" s="1"/>
  <c r="K445" i="4"/>
  <c r="K439" i="4"/>
  <c r="K438" i="4" s="1"/>
  <c r="K437" i="4"/>
  <c r="K436" i="4" s="1"/>
  <c r="K420" i="4"/>
  <c r="K419" i="4" s="1"/>
  <c r="K418" i="4" s="1"/>
  <c r="K417" i="4" s="1"/>
  <c r="K414" i="4"/>
  <c r="K413" i="4"/>
  <c r="K407" i="4"/>
  <c r="K404" i="4"/>
  <c r="K403" i="4"/>
  <c r="K397" i="4"/>
  <c r="K391" i="4"/>
  <c r="K390" i="4" s="1"/>
  <c r="K389" i="4" s="1"/>
  <c r="K388" i="4" s="1"/>
  <c r="K382" i="4"/>
  <c r="K376" i="4"/>
  <c r="K367" i="4"/>
  <c r="K351" i="4"/>
  <c r="K350" i="4" s="1"/>
  <c r="K349" i="4" s="1"/>
  <c r="K348" i="4" s="1"/>
  <c r="K345" i="4"/>
  <c r="K344" i="4" s="1"/>
  <c r="K343" i="4" s="1"/>
  <c r="K342" i="4" s="1"/>
  <c r="K339" i="4"/>
  <c r="K338" i="4" s="1"/>
  <c r="K337" i="4" s="1"/>
  <c r="K336" i="4" s="1"/>
  <c r="K333" i="4"/>
  <c r="K332" i="4" s="1"/>
  <c r="K331" i="4" s="1"/>
  <c r="K330" i="4" s="1"/>
  <c r="K327" i="4"/>
  <c r="K326" i="4" s="1"/>
  <c r="K325" i="4" s="1"/>
  <c r="K324" i="4" s="1"/>
  <c r="K321" i="4"/>
  <c r="K320" i="4" s="1"/>
  <c r="K319" i="4" s="1"/>
  <c r="K318" i="4" s="1"/>
  <c r="K314" i="4"/>
  <c r="K313" i="4" s="1"/>
  <c r="K312" i="4"/>
  <c r="K311" i="4"/>
  <c r="K305" i="4"/>
  <c r="K304" i="4" s="1"/>
  <c r="K303" i="4"/>
  <c r="K296" i="4"/>
  <c r="K295" i="4" s="1"/>
  <c r="K294" i="4" s="1"/>
  <c r="K293" i="4" s="1"/>
  <c r="K290" i="4"/>
  <c r="K289" i="4" s="1"/>
  <c r="K288" i="4" s="1"/>
  <c r="K287" i="4" s="1"/>
  <c r="K283" i="4"/>
  <c r="K282" i="4" s="1"/>
  <c r="K281" i="4" s="1"/>
  <c r="K280" i="4" s="1"/>
  <c r="K277" i="4"/>
  <c r="K276" i="4" s="1"/>
  <c r="K275" i="4" s="1"/>
  <c r="K274" i="4" s="1"/>
  <c r="K270" i="4"/>
  <c r="K269" i="4" s="1"/>
  <c r="K268" i="4"/>
  <c r="K261" i="4"/>
  <c r="K260" i="4"/>
  <c r="K258" i="4"/>
  <c r="K257" i="4"/>
  <c r="K251" i="4"/>
  <c r="K250" i="4" s="1"/>
  <c r="K249" i="4" s="1"/>
  <c r="K248" i="4" s="1"/>
  <c r="K244" i="4"/>
  <c r="K243" i="4" s="1"/>
  <c r="K242" i="4" s="1"/>
  <c r="K241" i="4" s="1"/>
  <c r="K237" i="4"/>
  <c r="K236" i="4"/>
  <c r="K229" i="4"/>
  <c r="K223" i="4"/>
  <c r="K222" i="4" s="1"/>
  <c r="K221" i="4" s="1"/>
  <c r="K220" i="4" s="1"/>
  <c r="K211" i="4"/>
  <c r="K210" i="4" s="1"/>
  <c r="K209" i="4" s="1"/>
  <c r="K208" i="4" s="1"/>
  <c r="K204" i="4"/>
  <c r="K198" i="4"/>
  <c r="K197" i="4" s="1"/>
  <c r="K196" i="4" s="1"/>
  <c r="K195" i="4" s="1"/>
  <c r="K191" i="4"/>
  <c r="K190" i="4" s="1"/>
  <c r="K189" i="4" s="1"/>
  <c r="K188" i="4" s="1"/>
  <c r="K184" i="4"/>
  <c r="K183" i="4" s="1"/>
  <c r="K182" i="4" s="1"/>
  <c r="K181" i="4" s="1"/>
  <c r="K178" i="4"/>
  <c r="K177" i="4" s="1"/>
  <c r="K176" i="4" s="1"/>
  <c r="K175" i="4" s="1"/>
  <c r="K172" i="4"/>
  <c r="K171" i="4"/>
  <c r="K170" i="4"/>
  <c r="K169" i="4"/>
  <c r="K168" i="4"/>
  <c r="K167" i="4"/>
  <c r="K166" i="4"/>
  <c r="K158" i="4"/>
  <c r="K165" i="4"/>
  <c r="K157" i="4"/>
  <c r="K142" i="4"/>
  <c r="K141" i="4" s="1"/>
  <c r="K140" i="4" s="1"/>
  <c r="K139" i="4" s="1"/>
  <c r="K135" i="4"/>
  <c r="K127" i="4"/>
  <c r="K126" i="4" s="1"/>
  <c r="K125" i="4" s="1"/>
  <c r="K124" i="4" s="1"/>
  <c r="K120" i="4"/>
  <c r="K114" i="4"/>
  <c r="K113" i="4" s="1"/>
  <c r="K112" i="4" s="1"/>
  <c r="K111" i="4" s="1"/>
  <c r="K93" i="4"/>
  <c r="K92" i="4"/>
  <c r="K91" i="4"/>
  <c r="K84" i="4"/>
  <c r="K83" i="4" s="1"/>
  <c r="K82" i="4" s="1"/>
  <c r="K81" i="4" s="1"/>
  <c r="K78" i="4"/>
  <c r="K77" i="4" s="1"/>
  <c r="K76" i="4" s="1"/>
  <c r="K75" i="4" s="1"/>
  <c r="K72" i="4"/>
  <c r="K66" i="4"/>
  <c r="K65" i="4"/>
  <c r="K64" i="4"/>
  <c r="K63" i="4"/>
  <c r="K62" i="4"/>
  <c r="K56" i="4"/>
  <c r="K55" i="4"/>
  <c r="K54" i="4"/>
  <c r="K51" i="4"/>
  <c r="K50" i="4"/>
  <c r="K49" i="4"/>
  <c r="K48" i="4"/>
  <c r="K46" i="4"/>
  <c r="K45" i="4" s="1"/>
  <c r="K44" i="4"/>
  <c r="K43" i="4"/>
  <c r="R125" i="1" s="1"/>
  <c r="K42" i="4"/>
  <c r="K41" i="4"/>
  <c r="K40" i="4"/>
  <c r="K39" i="4"/>
  <c r="K38" i="4"/>
  <c r="K37" i="4"/>
  <c r="R119" i="1" s="1"/>
  <c r="K34" i="4"/>
  <c r="K33" i="4"/>
  <c r="K32" i="4"/>
  <c r="K31" i="4"/>
  <c r="K25" i="4"/>
  <c r="K24" i="4"/>
  <c r="R110" i="1" s="1"/>
  <c r="K23" i="4"/>
  <c r="K22" i="4"/>
  <c r="K19" i="4"/>
  <c r="K17" i="4"/>
  <c r="Q217" i="1"/>
  <c r="Q216" i="1" s="1"/>
  <c r="V216" i="1" s="1"/>
  <c r="Q210" i="1"/>
  <c r="Q208" i="1"/>
  <c r="Q205" i="1"/>
  <c r="Q204" i="1" s="1"/>
  <c r="Q201" i="1"/>
  <c r="Q200" i="1" s="1"/>
  <c r="Q198" i="1"/>
  <c r="Q197" i="1" s="1"/>
  <c r="Q192" i="1"/>
  <c r="Q186" i="1"/>
  <c r="R184" i="1"/>
  <c r="Q183" i="1"/>
  <c r="V183" i="1" s="1"/>
  <c r="R182" i="1"/>
  <c r="Q181" i="1"/>
  <c r="Q180" i="1"/>
  <c r="Q173" i="1"/>
  <c r="Q169" i="1"/>
  <c r="Q166" i="1"/>
  <c r="Q163" i="1"/>
  <c r="Q162" i="1"/>
  <c r="Q160" i="1"/>
  <c r="V160" i="1" s="1"/>
  <c r="Q158" i="1"/>
  <c r="V146" i="1"/>
  <c r="Q145" i="1"/>
  <c r="Q142" i="1"/>
  <c r="Q141" i="1"/>
  <c r="Q140" i="1"/>
  <c r="Q137" i="1"/>
  <c r="Q135" i="1"/>
  <c r="Q134" i="1"/>
  <c r="Q133" i="1"/>
  <c r="Q132" i="1"/>
  <c r="Q131" i="1"/>
  <c r="Q128" i="1"/>
  <c r="V104" i="1"/>
  <c r="V102" i="1"/>
  <c r="V100" i="1"/>
  <c r="Q95" i="1"/>
  <c r="Q92" i="1"/>
  <c r="V92" i="1" s="1"/>
  <c r="Q89" i="1"/>
  <c r="Q88" i="1" s="1"/>
  <c r="Q84" i="1"/>
  <c r="V84" i="1" s="1"/>
  <c r="Q80" i="1"/>
  <c r="V80" i="1" s="1"/>
  <c r="Q76" i="1"/>
  <c r="V76" i="1" s="1"/>
  <c r="Q68" i="1"/>
  <c r="V68" i="1" s="1"/>
  <c r="Q65" i="1"/>
  <c r="V65" i="1" s="1"/>
  <c r="Q61" i="1"/>
  <c r="V61" i="1" s="1"/>
  <c r="Q55" i="1"/>
  <c r="V55" i="1" s="1"/>
  <c r="Q51" i="1"/>
  <c r="V51" i="1" s="1"/>
  <c r="Q48" i="1"/>
  <c r="V48" i="1" s="1"/>
  <c r="Q40" i="1"/>
  <c r="V40" i="1" s="1"/>
  <c r="R217" i="1"/>
  <c r="R216" i="1" s="1"/>
  <c r="R211" i="1"/>
  <c r="R210" i="1" s="1"/>
  <c r="R208" i="1"/>
  <c r="R205" i="1"/>
  <c r="R204" i="1" s="1"/>
  <c r="R201" i="1"/>
  <c r="R200" i="1" s="1"/>
  <c r="R198" i="1"/>
  <c r="R197" i="1" s="1"/>
  <c r="R166" i="1"/>
  <c r="R163" i="1"/>
  <c r="R137" i="1"/>
  <c r="R96" i="1"/>
  <c r="R95" i="1" s="1"/>
  <c r="R94" i="1" s="1"/>
  <c r="R93" i="1"/>
  <c r="R92" i="1" s="1"/>
  <c r="R91" i="1" s="1"/>
  <c r="R90" i="1"/>
  <c r="R89" i="1" s="1"/>
  <c r="R88" i="1" s="1"/>
  <c r="R87" i="1"/>
  <c r="R86" i="1"/>
  <c r="R85" i="1"/>
  <c r="R83" i="1"/>
  <c r="R82" i="1"/>
  <c r="R81" i="1"/>
  <c r="R79" i="1"/>
  <c r="R78" i="1"/>
  <c r="R77" i="1"/>
  <c r="R74" i="1"/>
  <c r="R73" i="1"/>
  <c r="R72" i="1"/>
  <c r="R71" i="1"/>
  <c r="R70" i="1"/>
  <c r="R69" i="1"/>
  <c r="R67" i="1"/>
  <c r="R66" i="1"/>
  <c r="R62" i="1"/>
  <c r="R59" i="1"/>
  <c r="R58" i="1" s="1"/>
  <c r="R56" i="1"/>
  <c r="R53" i="1"/>
  <c r="R52" i="1"/>
  <c r="R50" i="1"/>
  <c r="R49" i="1"/>
  <c r="R47" i="1"/>
  <c r="R46" i="1"/>
  <c r="R45" i="1"/>
  <c r="R44" i="1"/>
  <c r="R42" i="1"/>
  <c r="R41" i="1"/>
  <c r="P96" i="1"/>
  <c r="P93" i="1"/>
  <c r="P90" i="1"/>
  <c r="P87" i="1"/>
  <c r="P86" i="1"/>
  <c r="P85" i="1"/>
  <c r="P83" i="1"/>
  <c r="P82" i="1"/>
  <c r="P81" i="1"/>
  <c r="P79" i="1"/>
  <c r="P78" i="1"/>
  <c r="P77" i="1"/>
  <c r="P74" i="1"/>
  <c r="P73" i="1"/>
  <c r="P72" i="1"/>
  <c r="P71" i="1"/>
  <c r="P70" i="1"/>
  <c r="P69" i="1"/>
  <c r="P67" i="1"/>
  <c r="P66" i="1"/>
  <c r="P63" i="1"/>
  <c r="P62" i="1"/>
  <c r="P59" i="1"/>
  <c r="P57" i="1"/>
  <c r="P56" i="1"/>
  <c r="P53" i="1"/>
  <c r="P52" i="1"/>
  <c r="P50" i="1"/>
  <c r="P49" i="1"/>
  <c r="P47" i="1"/>
  <c r="P46" i="1"/>
  <c r="P45" i="1"/>
  <c r="P44" i="1"/>
  <c r="P43" i="1"/>
  <c r="P42" i="1"/>
  <c r="P41" i="1"/>
  <c r="R146" i="1" l="1"/>
  <c r="K119" i="4"/>
  <c r="K476" i="4"/>
  <c r="K475" i="4" s="1"/>
  <c r="K474" i="4" s="1"/>
  <c r="K461" i="4"/>
  <c r="K460" i="4" s="1"/>
  <c r="K396" i="4"/>
  <c r="K395" i="4" s="1"/>
  <c r="K394" i="4" s="1"/>
  <c r="R111" i="1"/>
  <c r="R121" i="1"/>
  <c r="K546" i="4"/>
  <c r="R104" i="1"/>
  <c r="R103" i="1" s="1"/>
  <c r="K16" i="4"/>
  <c r="R102" i="1"/>
  <c r="R101" i="1" s="1"/>
  <c r="R100" i="1"/>
  <c r="R99" i="1" s="1"/>
  <c r="K537" i="4"/>
  <c r="K536" i="4" s="1"/>
  <c r="R109" i="1"/>
  <c r="R177" i="1"/>
  <c r="K18" i="4"/>
  <c r="K578" i="4"/>
  <c r="K577" i="4" s="1"/>
  <c r="K568" i="4"/>
  <c r="K469" i="4"/>
  <c r="K468" i="4" s="1"/>
  <c r="K467" i="4" s="1"/>
  <c r="R193" i="1"/>
  <c r="R192" i="1" s="1"/>
  <c r="R115" i="1"/>
  <c r="K435" i="4"/>
  <c r="K434" i="4" s="1"/>
  <c r="K259" i="4"/>
  <c r="K556" i="4"/>
  <c r="K555" i="4" s="1"/>
  <c r="R116" i="1"/>
  <c r="K30" i="4"/>
  <c r="K90" i="4"/>
  <c r="K89" i="4" s="1"/>
  <c r="K88" i="4" s="1"/>
  <c r="K85" i="4" s="1"/>
  <c r="K118" i="4"/>
  <c r="K117" i="4" s="1"/>
  <c r="R117" i="1"/>
  <c r="K228" i="4"/>
  <c r="K227" i="4" s="1"/>
  <c r="K226" i="4" s="1"/>
  <c r="K302" i="4"/>
  <c r="K301" i="4" s="1"/>
  <c r="K300" i="4" s="1"/>
  <c r="R114" i="1"/>
  <c r="K47" i="4"/>
  <c r="K53" i="4"/>
  <c r="K52" i="4" s="1"/>
  <c r="K61" i="4"/>
  <c r="K60" i="4" s="1"/>
  <c r="K59" i="4" s="1"/>
  <c r="K156" i="4"/>
  <c r="K155" i="4" s="1"/>
  <c r="K154" i="4" s="1"/>
  <c r="K235" i="4"/>
  <c r="K234" i="4" s="1"/>
  <c r="K233" i="4" s="1"/>
  <c r="K256" i="4"/>
  <c r="K402" i="4"/>
  <c r="K401" i="4" s="1"/>
  <c r="K400" i="4" s="1"/>
  <c r="R113" i="1"/>
  <c r="R122" i="1"/>
  <c r="K310" i="4"/>
  <c r="K309" i="4" s="1"/>
  <c r="K308" i="4" s="1"/>
  <c r="K412" i="4"/>
  <c r="K411" i="4" s="1"/>
  <c r="K410" i="4" s="1"/>
  <c r="K267" i="4"/>
  <c r="K266" i="4" s="1"/>
  <c r="K265" i="4" s="1"/>
  <c r="K164" i="4"/>
  <c r="K163" i="4" s="1"/>
  <c r="K162" i="4" s="1"/>
  <c r="M117" i="4"/>
  <c r="M108" i="4" s="1"/>
  <c r="K36" i="4"/>
  <c r="R108" i="1"/>
  <c r="K21" i="4"/>
  <c r="K20" i="4" s="1"/>
  <c r="K203" i="4"/>
  <c r="R123" i="1"/>
  <c r="T64" i="1"/>
  <c r="O557" i="4"/>
  <c r="V89" i="1"/>
  <c r="O550" i="4"/>
  <c r="O546" i="4"/>
  <c r="T54" i="1"/>
  <c r="O537" i="4"/>
  <c r="T112" i="1"/>
  <c r="O465" i="4"/>
  <c r="T144" i="1"/>
  <c r="T143" i="1" s="1"/>
  <c r="O469" i="4"/>
  <c r="O326" i="4"/>
  <c r="V123" i="1"/>
  <c r="O396" i="4"/>
  <c r="R145" i="1"/>
  <c r="R176" i="1"/>
  <c r="O176" i="4"/>
  <c r="O202" i="4"/>
  <c r="O349" i="4"/>
  <c r="O497" i="4"/>
  <c r="O577" i="4"/>
  <c r="S25" i="1"/>
  <c r="O468" i="4"/>
  <c r="V88" i="1"/>
  <c r="O322" i="4"/>
  <c r="O325" i="4"/>
  <c r="L150" i="4"/>
  <c r="V182" i="1"/>
  <c r="O392" i="4"/>
  <c r="O395" i="4"/>
  <c r="O578" i="4"/>
  <c r="O418" i="4"/>
  <c r="R183" i="1"/>
  <c r="O209" i="4"/>
  <c r="T179" i="1"/>
  <c r="V177" i="1"/>
  <c r="V115" i="1"/>
  <c r="O350" i="4"/>
  <c r="O210" i="4"/>
  <c r="O203" i="4"/>
  <c r="V173" i="1"/>
  <c r="O302" i="4"/>
  <c r="Q215" i="1"/>
  <c r="O319" i="4"/>
  <c r="V117" i="1"/>
  <c r="Q91" i="1"/>
  <c r="R134" i="1"/>
  <c r="O221" i="4"/>
  <c r="O249" i="4"/>
  <c r="O275" i="4"/>
  <c r="J313" i="4"/>
  <c r="J308" i="4" s="1"/>
  <c r="O389" i="4"/>
  <c r="T25" i="1"/>
  <c r="V145" i="1"/>
  <c r="O419" i="4"/>
  <c r="V184" i="1"/>
  <c r="V134" i="1"/>
  <c r="O356" i="4"/>
  <c r="O572" i="4"/>
  <c r="O498" i="4"/>
  <c r="S171" i="1"/>
  <c r="O390" i="4"/>
  <c r="O569" i="4"/>
  <c r="O235" i="4"/>
  <c r="O358" i="4"/>
  <c r="Q94" i="1"/>
  <c r="V95" i="1"/>
  <c r="O282" i="4"/>
  <c r="R135" i="1"/>
  <c r="V135" i="1"/>
  <c r="V121" i="1"/>
  <c r="O243" i="4"/>
  <c r="V111" i="1"/>
  <c r="O462" i="4"/>
  <c r="O450" i="4"/>
  <c r="O412" i="4"/>
  <c r="V169" i="1"/>
  <c r="O197" i="4"/>
  <c r="R150" i="1"/>
  <c r="V150" i="1"/>
  <c r="O332" i="4"/>
  <c r="O304" i="4"/>
  <c r="O295" i="4"/>
  <c r="O289" i="4"/>
  <c r="O183" i="4"/>
  <c r="R154" i="1"/>
  <c r="V154" i="1"/>
  <c r="R153" i="1"/>
  <c r="V153" i="1"/>
  <c r="R158" i="1"/>
  <c r="V158" i="1"/>
  <c r="S143" i="1"/>
  <c r="R133" i="1"/>
  <c r="V133" i="1"/>
  <c r="O90" i="4"/>
  <c r="V162" i="1"/>
  <c r="O77" i="4"/>
  <c r="R186" i="1"/>
  <c r="V186" i="1"/>
  <c r="R181" i="1"/>
  <c r="V181" i="1"/>
  <c r="R180" i="1"/>
  <c r="V180" i="1"/>
  <c r="O61" i="4"/>
  <c r="R142" i="1"/>
  <c r="V142" i="1"/>
  <c r="R141" i="1"/>
  <c r="V141" i="1"/>
  <c r="R140" i="1"/>
  <c r="V140" i="1"/>
  <c r="O53" i="4"/>
  <c r="R132" i="1"/>
  <c r="V132" i="1"/>
  <c r="R131" i="1"/>
  <c r="V131" i="1"/>
  <c r="V128" i="1"/>
  <c r="V125" i="1"/>
  <c r="V124" i="1"/>
  <c r="V122" i="1"/>
  <c r="V119" i="1"/>
  <c r="V116" i="1"/>
  <c r="V114" i="1"/>
  <c r="V113" i="1"/>
  <c r="V110" i="1"/>
  <c r="V109" i="1"/>
  <c r="V108" i="1"/>
  <c r="O20" i="4"/>
  <c r="O21" i="4"/>
  <c r="T39" i="1"/>
  <c r="Q207" i="1"/>
  <c r="Q203" i="1" s="1"/>
  <c r="Q24" i="1" s="1"/>
  <c r="R215" i="1"/>
  <c r="R28" i="1" s="1"/>
  <c r="R29" i="1"/>
  <c r="T75" i="1"/>
  <c r="O259" i="4"/>
  <c r="O141" i="4"/>
  <c r="O344" i="4"/>
  <c r="O267" i="4"/>
  <c r="O71" i="4"/>
  <c r="O83" i="4"/>
  <c r="O113" i="4"/>
  <c r="O126" i="4"/>
  <c r="O228" i="4"/>
  <c r="L245" i="4"/>
  <c r="O256" i="4"/>
  <c r="O310" i="4"/>
  <c r="J373" i="4"/>
  <c r="J372" i="4" s="1"/>
  <c r="O374" i="4"/>
  <c r="J380" i="4"/>
  <c r="O381" i="4"/>
  <c r="O402" i="4"/>
  <c r="O476" i="4"/>
  <c r="O190" i="4"/>
  <c r="O489" i="4"/>
  <c r="M12" i="4"/>
  <c r="M29" i="4"/>
  <c r="M28" i="4" s="1"/>
  <c r="M535" i="4"/>
  <c r="M532" i="4" s="1"/>
  <c r="L9" i="4"/>
  <c r="S38" i="1"/>
  <c r="S15" i="1" s="1"/>
  <c r="M385" i="4"/>
  <c r="T98" i="1"/>
  <c r="M255" i="4"/>
  <c r="M254" i="4" s="1"/>
  <c r="M245" i="4" s="1"/>
  <c r="O568" i="4"/>
  <c r="Q196" i="1"/>
  <c r="Q23" i="1" s="1"/>
  <c r="Q101" i="1"/>
  <c r="V101" i="1" s="1"/>
  <c r="Q144" i="1"/>
  <c r="V144" i="1" s="1"/>
  <c r="Q103" i="1"/>
  <c r="V103" i="1" s="1"/>
  <c r="Q127" i="1"/>
  <c r="R128" i="1"/>
  <c r="R127" i="1" s="1"/>
  <c r="Q159" i="1"/>
  <c r="R160" i="1"/>
  <c r="R159" i="1" s="1"/>
  <c r="Q168" i="1"/>
  <c r="R169" i="1"/>
  <c r="R168" i="1" s="1"/>
  <c r="Q161" i="1"/>
  <c r="R162" i="1"/>
  <c r="R161" i="1" s="1"/>
  <c r="Q172" i="1"/>
  <c r="R173" i="1"/>
  <c r="R172" i="1" s="1"/>
  <c r="R171" i="1" s="1"/>
  <c r="Q99" i="1"/>
  <c r="K374" i="4"/>
  <c r="K373" i="4" s="1"/>
  <c r="K372" i="4" s="1"/>
  <c r="K238" i="4"/>
  <c r="K381" i="4"/>
  <c r="K380" i="4" s="1"/>
  <c r="K379" i="4" s="1"/>
  <c r="K136" i="4"/>
  <c r="K365" i="4"/>
  <c r="K71" i="4"/>
  <c r="K121" i="4"/>
  <c r="K185" i="4"/>
  <c r="K444" i="4"/>
  <c r="K443" i="4" s="1"/>
  <c r="K442" i="4" s="1"/>
  <c r="K498" i="4"/>
  <c r="K497" i="4" s="1"/>
  <c r="K496" i="4" s="1"/>
  <c r="O536" i="4"/>
  <c r="O355" i="4"/>
  <c r="Q152" i="1"/>
  <c r="J29" i="4"/>
  <c r="V107" i="1"/>
  <c r="Q179" i="1"/>
  <c r="V179" i="1" s="1"/>
  <c r="V112" i="1"/>
  <c r="Q139" i="1"/>
  <c r="Q75" i="1"/>
  <c r="V75" i="1" s="1"/>
  <c r="Q64" i="1"/>
  <c r="V64" i="1" s="1"/>
  <c r="Q54" i="1"/>
  <c r="V54" i="1" s="1"/>
  <c r="Q39" i="1"/>
  <c r="V39" i="1" s="1"/>
  <c r="R65" i="1"/>
  <c r="R196" i="1"/>
  <c r="R23" i="1" s="1"/>
  <c r="R207" i="1"/>
  <c r="R203" i="1" s="1"/>
  <c r="R24" i="1" s="1"/>
  <c r="R84" i="1"/>
  <c r="R80" i="1"/>
  <c r="R76" i="1"/>
  <c r="R68" i="1"/>
  <c r="R51" i="1"/>
  <c r="R48" i="1"/>
  <c r="R40" i="1"/>
  <c r="P48" i="1"/>
  <c r="N29" i="1"/>
  <c r="N96" i="1"/>
  <c r="N93" i="1"/>
  <c r="N90" i="1"/>
  <c r="N87" i="1"/>
  <c r="N86" i="1"/>
  <c r="N85" i="1"/>
  <c r="N83" i="1"/>
  <c r="N82" i="1"/>
  <c r="N81" i="1"/>
  <c r="N78" i="1"/>
  <c r="N79" i="1"/>
  <c r="N77" i="1"/>
  <c r="N74" i="1"/>
  <c r="N73" i="1"/>
  <c r="N72" i="1"/>
  <c r="N71" i="1"/>
  <c r="N70" i="1"/>
  <c r="N69" i="1"/>
  <c r="N67" i="1"/>
  <c r="N66" i="1"/>
  <c r="N63" i="1"/>
  <c r="N62" i="1"/>
  <c r="N60" i="1"/>
  <c r="N59" i="1"/>
  <c r="N57" i="1"/>
  <c r="N56" i="1"/>
  <c r="N53" i="1"/>
  <c r="N52" i="1"/>
  <c r="N50" i="1"/>
  <c r="N49" i="1"/>
  <c r="N47" i="1"/>
  <c r="N46" i="1"/>
  <c r="N45" i="1"/>
  <c r="N44" i="1"/>
  <c r="N43" i="1"/>
  <c r="N42" i="1"/>
  <c r="N41" i="1"/>
  <c r="R124" i="1" l="1"/>
  <c r="K13" i="4"/>
  <c r="K12" i="4" s="1"/>
  <c r="K567" i="4"/>
  <c r="K564" i="4" s="1"/>
  <c r="R98" i="1"/>
  <c r="K255" i="4"/>
  <c r="K254" i="4" s="1"/>
  <c r="K245" i="4" s="1"/>
  <c r="K535" i="4"/>
  <c r="K532" i="4" s="1"/>
  <c r="K70" i="4"/>
  <c r="K69" i="4" s="1"/>
  <c r="K363" i="4"/>
  <c r="K362" i="4" s="1"/>
  <c r="K364" i="4"/>
  <c r="R107" i="1"/>
  <c r="R112" i="1"/>
  <c r="T38" i="1"/>
  <c r="V99" i="1"/>
  <c r="Q98" i="1"/>
  <c r="V98" i="1" s="1"/>
  <c r="R25" i="1"/>
  <c r="R144" i="1"/>
  <c r="R143" i="1" s="1"/>
  <c r="R179" i="1"/>
  <c r="O115" i="4"/>
  <c r="Q171" i="1"/>
  <c r="V171" i="1" s="1"/>
  <c r="Q143" i="1"/>
  <c r="V143" i="1" s="1"/>
  <c r="L271" i="4"/>
  <c r="L564" i="4"/>
  <c r="O334" i="4"/>
  <c r="O220" i="4"/>
  <c r="O337" i="4"/>
  <c r="O233" i="4"/>
  <c r="O565" i="4"/>
  <c r="R152" i="1"/>
  <c r="R151" i="1" s="1"/>
  <c r="O435" i="4"/>
  <c r="L192" i="4"/>
  <c r="V91" i="1"/>
  <c r="O415" i="4"/>
  <c r="O118" i="4"/>
  <c r="O234" i="4"/>
  <c r="O556" i="4"/>
  <c r="V172" i="1"/>
  <c r="V159" i="1"/>
  <c r="L108" i="4"/>
  <c r="O346" i="4"/>
  <c r="O199" i="4"/>
  <c r="O553" i="4"/>
  <c r="Q16" i="1"/>
  <c r="R16" i="1" s="1"/>
  <c r="V94" i="1"/>
  <c r="K271" i="4"/>
  <c r="O281" i="4"/>
  <c r="O242" i="4"/>
  <c r="O461" i="4"/>
  <c r="O449" i="4"/>
  <c r="O432" i="4"/>
  <c r="V168" i="1"/>
  <c r="O411" i="4"/>
  <c r="O196" i="4"/>
  <c r="O328" i="4"/>
  <c r="O331" i="4"/>
  <c r="O301" i="4"/>
  <c r="O294" i="4"/>
  <c r="O288" i="4"/>
  <c r="O182" i="4"/>
  <c r="Q151" i="1"/>
  <c r="V151" i="1" s="1"/>
  <c r="V152" i="1"/>
  <c r="K150" i="4"/>
  <c r="O89" i="4"/>
  <c r="V161" i="1"/>
  <c r="O73" i="4"/>
  <c r="O76" i="4"/>
  <c r="J59" i="4"/>
  <c r="O57" i="4" s="1"/>
  <c r="O60" i="4"/>
  <c r="R139" i="1"/>
  <c r="R136" i="1" s="1"/>
  <c r="Q136" i="1"/>
  <c r="V139" i="1"/>
  <c r="O52" i="4"/>
  <c r="V127" i="1"/>
  <c r="J28" i="4"/>
  <c r="O26" i="4" s="1"/>
  <c r="O29" i="4"/>
  <c r="J12" i="4"/>
  <c r="O10" i="4" s="1"/>
  <c r="O13" i="4"/>
  <c r="R64" i="1"/>
  <c r="O140" i="4"/>
  <c r="O343" i="4"/>
  <c r="O263" i="4"/>
  <c r="O266" i="4"/>
  <c r="J69" i="4"/>
  <c r="O70" i="4"/>
  <c r="O82" i="4"/>
  <c r="O112" i="4"/>
  <c r="O125" i="4"/>
  <c r="O227" i="4"/>
  <c r="O255" i="4"/>
  <c r="L262" i="4"/>
  <c r="O306" i="4"/>
  <c r="O309" i="4"/>
  <c r="S14" i="1"/>
  <c r="T15" i="1"/>
  <c r="T14" i="1" s="1"/>
  <c r="O370" i="4"/>
  <c r="O373" i="4"/>
  <c r="J379" i="4"/>
  <c r="O377" i="4" s="1"/>
  <c r="O380" i="4"/>
  <c r="O401" i="4"/>
  <c r="O475" i="4"/>
  <c r="O189" i="4"/>
  <c r="O488" i="4"/>
  <c r="M9" i="4"/>
  <c r="O533" i="4"/>
  <c r="M155" i="4"/>
  <c r="M154" i="4" s="1"/>
  <c r="M150" i="4" s="1"/>
  <c r="Q25" i="1"/>
  <c r="K262" i="4"/>
  <c r="Q38" i="1"/>
  <c r="K284" i="4"/>
  <c r="K192" i="4"/>
  <c r="K108" i="4"/>
  <c r="K385" i="4"/>
  <c r="K29" i="4"/>
  <c r="K28" i="4" s="1"/>
  <c r="R75" i="1"/>
  <c r="R39" i="1"/>
  <c r="P217" i="1"/>
  <c r="P216" i="1" s="1"/>
  <c r="P215" i="1" s="1"/>
  <c r="P28" i="1" s="1"/>
  <c r="P211" i="1"/>
  <c r="P210" i="1" s="1"/>
  <c r="P208" i="1"/>
  <c r="P205" i="1"/>
  <c r="P204" i="1" s="1"/>
  <c r="P201" i="1"/>
  <c r="P200" i="1" s="1"/>
  <c r="P198" i="1"/>
  <c r="P197" i="1" s="1"/>
  <c r="P166" i="1"/>
  <c r="P163" i="1"/>
  <c r="P137" i="1"/>
  <c r="P95" i="1"/>
  <c r="P94" i="1" s="1"/>
  <c r="P16" i="1" s="1"/>
  <c r="P92" i="1"/>
  <c r="P91" i="1" s="1"/>
  <c r="P89" i="1"/>
  <c r="P88" i="1" s="1"/>
  <c r="P84" i="1"/>
  <c r="P80" i="1"/>
  <c r="P76" i="1"/>
  <c r="P68" i="1"/>
  <c r="P65" i="1"/>
  <c r="P61" i="1"/>
  <c r="P58" i="1"/>
  <c r="P55" i="1"/>
  <c r="P51" i="1"/>
  <c r="P40" i="1"/>
  <c r="O217" i="1"/>
  <c r="O216" i="1" s="1"/>
  <c r="O210" i="1"/>
  <c r="O208" i="1"/>
  <c r="O205" i="1"/>
  <c r="O204" i="1" s="1"/>
  <c r="O201" i="1"/>
  <c r="O200" i="1" s="1"/>
  <c r="O198" i="1"/>
  <c r="O197" i="1" s="1"/>
  <c r="O192" i="1"/>
  <c r="O186" i="1"/>
  <c r="U186" i="1" s="1"/>
  <c r="U184" i="1"/>
  <c r="O183" i="1"/>
  <c r="U183" i="1" s="1"/>
  <c r="U182" i="1"/>
  <c r="O181" i="1"/>
  <c r="U181" i="1" s="1"/>
  <c r="O180" i="1"/>
  <c r="U180" i="1" s="1"/>
  <c r="U176" i="1"/>
  <c r="O173" i="1"/>
  <c r="O166" i="1"/>
  <c r="O163" i="1"/>
  <c r="O162" i="1"/>
  <c r="O160" i="1"/>
  <c r="O158" i="1"/>
  <c r="U158" i="1" s="1"/>
  <c r="U154" i="1"/>
  <c r="U153" i="1"/>
  <c r="U150" i="1"/>
  <c r="U146" i="1"/>
  <c r="O145" i="1"/>
  <c r="U145" i="1" s="1"/>
  <c r="O142" i="1"/>
  <c r="U142" i="1" s="1"/>
  <c r="O141" i="1"/>
  <c r="U141" i="1" s="1"/>
  <c r="O140" i="1"/>
  <c r="U140" i="1" s="1"/>
  <c r="O137" i="1"/>
  <c r="O135" i="1"/>
  <c r="U135" i="1" s="1"/>
  <c r="O134" i="1"/>
  <c r="U134" i="1" s="1"/>
  <c r="O133" i="1"/>
  <c r="U133" i="1" s="1"/>
  <c r="O131" i="1"/>
  <c r="U131" i="1" s="1"/>
  <c r="O128" i="1"/>
  <c r="O125" i="1"/>
  <c r="U125" i="1" s="1"/>
  <c r="U124" i="1"/>
  <c r="U123" i="1"/>
  <c r="O122" i="1"/>
  <c r="U122" i="1" s="1"/>
  <c r="U121" i="1"/>
  <c r="O119" i="1"/>
  <c r="U119" i="1" s="1"/>
  <c r="O117" i="1"/>
  <c r="U117" i="1" s="1"/>
  <c r="O116" i="1"/>
  <c r="U116" i="1" s="1"/>
  <c r="O115" i="1"/>
  <c r="U115" i="1" s="1"/>
  <c r="U114" i="1"/>
  <c r="U113" i="1"/>
  <c r="U111" i="1"/>
  <c r="U110" i="1"/>
  <c r="O108" i="1"/>
  <c r="U108" i="1" s="1"/>
  <c r="O95" i="1"/>
  <c r="O92" i="1"/>
  <c r="O89" i="1"/>
  <c r="O84" i="1"/>
  <c r="U84" i="1" s="1"/>
  <c r="O80" i="1"/>
  <c r="U80" i="1" s="1"/>
  <c r="O76" i="1"/>
  <c r="U76" i="1" s="1"/>
  <c r="O68" i="1"/>
  <c r="U68" i="1" s="1"/>
  <c r="O65" i="1"/>
  <c r="U65" i="1" s="1"/>
  <c r="O61" i="1"/>
  <c r="U61" i="1" s="1"/>
  <c r="O58" i="1"/>
  <c r="U58" i="1" s="1"/>
  <c r="O55" i="1"/>
  <c r="U55" i="1" s="1"/>
  <c r="O51" i="1"/>
  <c r="U51" i="1" s="1"/>
  <c r="O48" i="1"/>
  <c r="U48" i="1" s="1"/>
  <c r="O40" i="1"/>
  <c r="U40" i="1" s="1"/>
  <c r="N217" i="1"/>
  <c r="N216" i="1" s="1"/>
  <c r="N215" i="1" s="1"/>
  <c r="N28" i="1" s="1"/>
  <c r="N211" i="1"/>
  <c r="N210" i="1" s="1"/>
  <c r="N208" i="1"/>
  <c r="N205" i="1"/>
  <c r="N204" i="1" s="1"/>
  <c r="N201" i="1"/>
  <c r="N200" i="1" s="1"/>
  <c r="N198" i="1"/>
  <c r="N197" i="1" s="1"/>
  <c r="N192" i="1"/>
  <c r="N166" i="1"/>
  <c r="N163" i="1"/>
  <c r="N137" i="1"/>
  <c r="N95" i="1"/>
  <c r="N94" i="1" s="1"/>
  <c r="N16" i="1" s="1"/>
  <c r="N92" i="1"/>
  <c r="N91" i="1" s="1"/>
  <c r="N89" i="1"/>
  <c r="N88" i="1" s="1"/>
  <c r="N84" i="1"/>
  <c r="N80" i="1"/>
  <c r="N76" i="1"/>
  <c r="N68" i="1"/>
  <c r="N65" i="1"/>
  <c r="N61" i="1"/>
  <c r="N58" i="1"/>
  <c r="N55" i="1"/>
  <c r="N51" i="1"/>
  <c r="N48" i="1"/>
  <c r="N40" i="1"/>
  <c r="I579" i="4"/>
  <c r="I575" i="4"/>
  <c r="I574" i="4" s="1"/>
  <c r="I570" i="4"/>
  <c r="I569" i="4" s="1"/>
  <c r="I558" i="4"/>
  <c r="I557" i="4" s="1"/>
  <c r="I551" i="4"/>
  <c r="I550" i="4" s="1"/>
  <c r="I548" i="4"/>
  <c r="I547" i="4" s="1"/>
  <c r="I544" i="4"/>
  <c r="I543" i="4" s="1"/>
  <c r="I538" i="4"/>
  <c r="I537" i="4" s="1"/>
  <c r="I499" i="4"/>
  <c r="I498" i="4" s="1"/>
  <c r="I497" i="4" s="1"/>
  <c r="I496" i="4" s="1"/>
  <c r="I491" i="4"/>
  <c r="I489" i="4" s="1"/>
  <c r="I488" i="4" s="1"/>
  <c r="I487" i="4" s="1"/>
  <c r="P176" i="1"/>
  <c r="I477" i="4"/>
  <c r="I470" i="4"/>
  <c r="I463" i="4"/>
  <c r="I462" i="4" s="1"/>
  <c r="I451" i="4"/>
  <c r="I450" i="4" s="1"/>
  <c r="I449" i="4" s="1"/>
  <c r="I448" i="4" s="1"/>
  <c r="I445" i="4"/>
  <c r="I439" i="4"/>
  <c r="I438" i="4" s="1"/>
  <c r="I437" i="4"/>
  <c r="I436" i="4" s="1"/>
  <c r="I420" i="4"/>
  <c r="I419" i="4" s="1"/>
  <c r="I418" i="4" s="1"/>
  <c r="I417" i="4" s="1"/>
  <c r="I414" i="4"/>
  <c r="I413" i="4"/>
  <c r="I404" i="4"/>
  <c r="I403" i="4"/>
  <c r="I397" i="4"/>
  <c r="I391" i="4"/>
  <c r="I367" i="4"/>
  <c r="I365" i="4" s="1"/>
  <c r="I351" i="4"/>
  <c r="I350" i="4" s="1"/>
  <c r="I349" i="4" s="1"/>
  <c r="I348" i="4" s="1"/>
  <c r="I345" i="4"/>
  <c r="I344" i="4" s="1"/>
  <c r="I343" i="4" s="1"/>
  <c r="I342" i="4" s="1"/>
  <c r="I339" i="4"/>
  <c r="I338" i="4" s="1"/>
  <c r="I337" i="4" s="1"/>
  <c r="I336" i="4" s="1"/>
  <c r="I333" i="4"/>
  <c r="I332" i="4" s="1"/>
  <c r="I331" i="4" s="1"/>
  <c r="I330" i="4" s="1"/>
  <c r="I327" i="4"/>
  <c r="I326" i="4" s="1"/>
  <c r="I325" i="4" s="1"/>
  <c r="I324" i="4" s="1"/>
  <c r="I321" i="4"/>
  <c r="I320" i="4" s="1"/>
  <c r="I319" i="4" s="1"/>
  <c r="I318" i="4" s="1"/>
  <c r="I312" i="4"/>
  <c r="I311" i="4"/>
  <c r="I305" i="4"/>
  <c r="I304" i="4" s="1"/>
  <c r="I303" i="4"/>
  <c r="I296" i="4"/>
  <c r="I295" i="4" s="1"/>
  <c r="I294" i="4" s="1"/>
  <c r="I293" i="4" s="1"/>
  <c r="I290" i="4"/>
  <c r="I289" i="4" s="1"/>
  <c r="I288" i="4" s="1"/>
  <c r="I287" i="4" s="1"/>
  <c r="I283" i="4"/>
  <c r="I282" i="4" s="1"/>
  <c r="I281" i="4" s="1"/>
  <c r="I280" i="4" s="1"/>
  <c r="I277" i="4"/>
  <c r="I276" i="4" s="1"/>
  <c r="I275" i="4" s="1"/>
  <c r="I274" i="4" s="1"/>
  <c r="I270" i="4"/>
  <c r="I268" i="4"/>
  <c r="I267" i="4" s="1"/>
  <c r="I261" i="4"/>
  <c r="I260" i="4"/>
  <c r="I258" i="4"/>
  <c r="I257" i="4"/>
  <c r="I251" i="4"/>
  <c r="I250" i="4" s="1"/>
  <c r="I249" i="4" s="1"/>
  <c r="I248" i="4" s="1"/>
  <c r="I244" i="4"/>
  <c r="I237" i="4"/>
  <c r="I236" i="4"/>
  <c r="I229" i="4"/>
  <c r="I223" i="4"/>
  <c r="I222" i="4" s="1"/>
  <c r="I221" i="4" s="1"/>
  <c r="I220" i="4" s="1"/>
  <c r="I211" i="4"/>
  <c r="I210" i="4" s="1"/>
  <c r="I209" i="4" s="1"/>
  <c r="I208" i="4" s="1"/>
  <c r="I204" i="4"/>
  <c r="I198" i="4"/>
  <c r="I191" i="4"/>
  <c r="I184" i="4"/>
  <c r="I183" i="4" s="1"/>
  <c r="I182" i="4" s="1"/>
  <c r="I181" i="4" s="1"/>
  <c r="I178" i="4"/>
  <c r="I177" i="4" s="1"/>
  <c r="I176" i="4" s="1"/>
  <c r="I175" i="4" s="1"/>
  <c r="I172" i="4"/>
  <c r="I171" i="4"/>
  <c r="I170" i="4"/>
  <c r="I169" i="4"/>
  <c r="I168" i="4"/>
  <c r="I167" i="4"/>
  <c r="I166" i="4"/>
  <c r="I158" i="4"/>
  <c r="I165" i="4"/>
  <c r="I157" i="4"/>
  <c r="I142" i="4"/>
  <c r="I135" i="4"/>
  <c r="P158" i="1" s="1"/>
  <c r="I127" i="4"/>
  <c r="I120" i="4"/>
  <c r="I114" i="4"/>
  <c r="I93" i="4"/>
  <c r="P133" i="1" s="1"/>
  <c r="I92" i="4"/>
  <c r="I91" i="4"/>
  <c r="I84" i="4"/>
  <c r="I78" i="4"/>
  <c r="I77" i="4" s="1"/>
  <c r="I76" i="4" s="1"/>
  <c r="I75" i="4" s="1"/>
  <c r="I72" i="4"/>
  <c r="P186" i="1" s="1"/>
  <c r="I66" i="4"/>
  <c r="I65" i="4"/>
  <c r="P183" i="1" s="1"/>
  <c r="I64" i="4"/>
  <c r="I63" i="4"/>
  <c r="P181" i="1" s="1"/>
  <c r="I62" i="4"/>
  <c r="I56" i="4"/>
  <c r="P142" i="1" s="1"/>
  <c r="I55" i="4"/>
  <c r="P141" i="1" s="1"/>
  <c r="I54" i="4"/>
  <c r="I51" i="4"/>
  <c r="I50" i="4"/>
  <c r="P134" i="1" s="1"/>
  <c r="I49" i="4"/>
  <c r="I48" i="4"/>
  <c r="I46" i="4"/>
  <c r="I44" i="4"/>
  <c r="I43" i="4"/>
  <c r="P125" i="1" s="1"/>
  <c r="I42" i="4"/>
  <c r="I41" i="4"/>
  <c r="I40" i="4"/>
  <c r="I39" i="4"/>
  <c r="I38" i="4"/>
  <c r="I37" i="4"/>
  <c r="I34" i="4"/>
  <c r="I33" i="4"/>
  <c r="I32" i="4"/>
  <c r="I31" i="4"/>
  <c r="I25" i="4"/>
  <c r="I24" i="4"/>
  <c r="P110" i="1" s="1"/>
  <c r="I23" i="4"/>
  <c r="I22" i="4"/>
  <c r="I19" i="4"/>
  <c r="I17" i="4"/>
  <c r="I581" i="4"/>
  <c r="I572" i="4"/>
  <c r="I314" i="4"/>
  <c r="I313" i="4" s="1"/>
  <c r="M177" i="1"/>
  <c r="H572" i="4"/>
  <c r="N572" i="4" s="1"/>
  <c r="H314" i="4"/>
  <c r="H304" i="4"/>
  <c r="N304" i="4" s="1"/>
  <c r="M120" i="1"/>
  <c r="F550" i="4"/>
  <c r="M100" i="1"/>
  <c r="M99" i="1" s="1"/>
  <c r="M153" i="1"/>
  <c r="G579" i="4"/>
  <c r="G575" i="4"/>
  <c r="G570" i="4"/>
  <c r="G563" i="4"/>
  <c r="G558" i="4"/>
  <c r="G551" i="4"/>
  <c r="G550" i="4" s="1"/>
  <c r="G548" i="4"/>
  <c r="G544" i="4"/>
  <c r="G543" i="4" s="1"/>
  <c r="G541" i="4"/>
  <c r="G538" i="4"/>
  <c r="G537" i="4" s="1"/>
  <c r="G499" i="4"/>
  <c r="G491" i="4"/>
  <c r="N176" i="1"/>
  <c r="G483" i="4"/>
  <c r="H483" i="4" s="1"/>
  <c r="O178" i="1" s="1"/>
  <c r="G477" i="4"/>
  <c r="G470" i="4"/>
  <c r="G469" i="4" s="1"/>
  <c r="G468" i="4" s="1"/>
  <c r="G463" i="4"/>
  <c r="G462" i="4" s="1"/>
  <c r="G461" i="4" s="1"/>
  <c r="G460" i="4" s="1"/>
  <c r="G451" i="4"/>
  <c r="G450" i="4" s="1"/>
  <c r="G449" i="4" s="1"/>
  <c r="G448" i="4" s="1"/>
  <c r="G445" i="4"/>
  <c r="G439" i="4"/>
  <c r="G438" i="4" s="1"/>
  <c r="G437" i="4"/>
  <c r="G420" i="4"/>
  <c r="G414" i="4"/>
  <c r="G413" i="4"/>
  <c r="G407" i="4"/>
  <c r="U177" i="1" s="1"/>
  <c r="G404" i="4"/>
  <c r="G403" i="4"/>
  <c r="G397" i="4"/>
  <c r="G391" i="4"/>
  <c r="N173" i="1" s="1"/>
  <c r="N172" i="1" s="1"/>
  <c r="N171" i="1" s="1"/>
  <c r="G382" i="4"/>
  <c r="G381" i="4" s="1"/>
  <c r="G380" i="4" s="1"/>
  <c r="G379" i="4" s="1"/>
  <c r="G376" i="4"/>
  <c r="G374" i="4" s="1"/>
  <c r="G373" i="4" s="1"/>
  <c r="G372" i="4" s="1"/>
  <c r="G367" i="4"/>
  <c r="G365" i="4" s="1"/>
  <c r="G363" i="4" s="1"/>
  <c r="G362" i="4" s="1"/>
  <c r="G359" i="4"/>
  <c r="G357" i="4"/>
  <c r="G351" i="4"/>
  <c r="G345" i="4"/>
  <c r="G339" i="4"/>
  <c r="G333" i="4"/>
  <c r="G327" i="4"/>
  <c r="G321" i="4"/>
  <c r="G312" i="4"/>
  <c r="G311" i="4"/>
  <c r="G305" i="4"/>
  <c r="G304" i="4" s="1"/>
  <c r="G303" i="4"/>
  <c r="G296" i="4"/>
  <c r="G290" i="4"/>
  <c r="G283" i="4"/>
  <c r="G277" i="4"/>
  <c r="G270" i="4"/>
  <c r="N160" i="1" s="1"/>
  <c r="N159" i="1" s="1"/>
  <c r="G268" i="4"/>
  <c r="G261" i="4"/>
  <c r="G260" i="4"/>
  <c r="N259" i="4" s="1"/>
  <c r="G258" i="4"/>
  <c r="G257" i="4"/>
  <c r="G251" i="4"/>
  <c r="G244" i="4"/>
  <c r="G243" i="4" s="1"/>
  <c r="G242" i="4" s="1"/>
  <c r="G241" i="4" s="1"/>
  <c r="G238" i="4" s="1"/>
  <c r="N149" i="1"/>
  <c r="G237" i="4"/>
  <c r="G236" i="4"/>
  <c r="G229" i="4"/>
  <c r="N117" i="1" s="1"/>
  <c r="G223" i="4"/>
  <c r="G217" i="4"/>
  <c r="N188" i="1" s="1"/>
  <c r="G211" i="4"/>
  <c r="G204" i="4"/>
  <c r="G198" i="4"/>
  <c r="G197" i="4" s="1"/>
  <c r="G196" i="4" s="1"/>
  <c r="G195" i="4" s="1"/>
  <c r="G191" i="4"/>
  <c r="G190" i="4" s="1"/>
  <c r="G189" i="4" s="1"/>
  <c r="G188" i="4" s="1"/>
  <c r="G185" i="4" s="1"/>
  <c r="G184" i="4"/>
  <c r="G178" i="4"/>
  <c r="G172" i="4"/>
  <c r="G171" i="4"/>
  <c r="G170" i="4"/>
  <c r="G169" i="4"/>
  <c r="G168" i="4"/>
  <c r="G167" i="4"/>
  <c r="G166" i="4"/>
  <c r="G158" i="4"/>
  <c r="G165" i="4"/>
  <c r="G157" i="4"/>
  <c r="G142" i="4"/>
  <c r="G135" i="4"/>
  <c r="N158" i="1" s="1"/>
  <c r="G134" i="4"/>
  <c r="G127" i="4"/>
  <c r="G126" i="4" s="1"/>
  <c r="G125" i="4" s="1"/>
  <c r="G124" i="4" s="1"/>
  <c r="G121" i="4" s="1"/>
  <c r="G120" i="4"/>
  <c r="G114" i="4"/>
  <c r="N145" i="1" s="1"/>
  <c r="G107" i="4"/>
  <c r="G106" i="4" s="1"/>
  <c r="G105" i="4" s="1"/>
  <c r="G104" i="4"/>
  <c r="G103" i="4" s="1"/>
  <c r="G102" i="4"/>
  <c r="G101" i="4" s="1"/>
  <c r="G93" i="4"/>
  <c r="N133" i="1" s="1"/>
  <c r="G92" i="4"/>
  <c r="G91" i="4"/>
  <c r="G84" i="4"/>
  <c r="G83" i="4" s="1"/>
  <c r="G82" i="4" s="1"/>
  <c r="G81" i="4" s="1"/>
  <c r="G78" i="4"/>
  <c r="G72" i="4"/>
  <c r="G71" i="4" s="1"/>
  <c r="G70" i="4" s="1"/>
  <c r="G69" i="4" s="1"/>
  <c r="G66" i="4"/>
  <c r="G65" i="4"/>
  <c r="N183" i="1" s="1"/>
  <c r="G64" i="4"/>
  <c r="G63" i="4"/>
  <c r="N181" i="1" s="1"/>
  <c r="G62" i="4"/>
  <c r="N180" i="1" s="1"/>
  <c r="G56" i="4"/>
  <c r="N142" i="1" s="1"/>
  <c r="G55" i="4"/>
  <c r="N141" i="1" s="1"/>
  <c r="G54" i="4"/>
  <c r="N140" i="1" s="1"/>
  <c r="G51" i="4"/>
  <c r="G50" i="4"/>
  <c r="N134" i="1" s="1"/>
  <c r="G49" i="4"/>
  <c r="G48" i="4"/>
  <c r="H47" i="4" s="1"/>
  <c r="N47" i="4" s="1"/>
  <c r="G46" i="4"/>
  <c r="G45" i="4" s="1"/>
  <c r="G44" i="4"/>
  <c r="G43" i="4"/>
  <c r="N125" i="1" s="1"/>
  <c r="G42" i="4"/>
  <c r="G41" i="4"/>
  <c r="G40" i="4"/>
  <c r="G39" i="4"/>
  <c r="G38" i="4"/>
  <c r="G37" i="4"/>
  <c r="N119" i="1" s="1"/>
  <c r="G34" i="4"/>
  <c r="G33" i="4"/>
  <c r="G32" i="4"/>
  <c r="G31" i="4"/>
  <c r="H30" i="4" s="1"/>
  <c r="N30" i="4" s="1"/>
  <c r="G25" i="4"/>
  <c r="G24" i="4"/>
  <c r="N110" i="1" s="1"/>
  <c r="G23" i="4"/>
  <c r="G22" i="4"/>
  <c r="N108" i="1" s="1"/>
  <c r="G19" i="4"/>
  <c r="N18" i="4" s="1"/>
  <c r="G17" i="4"/>
  <c r="G15" i="4"/>
  <c r="G14" i="4" s="1"/>
  <c r="G581" i="4"/>
  <c r="G572" i="4"/>
  <c r="G314" i="4"/>
  <c r="G313" i="4" s="1"/>
  <c r="F402" i="4"/>
  <c r="F401" i="4" s="1"/>
  <c r="F400" i="4" s="1"/>
  <c r="M178" i="1"/>
  <c r="F489" i="4"/>
  <c r="F488" i="4" s="1"/>
  <c r="M55" i="1"/>
  <c r="M61" i="1"/>
  <c r="M58" i="1"/>
  <c r="F374" i="4"/>
  <c r="F373" i="4" s="1"/>
  <c r="F372" i="4" s="1"/>
  <c r="F365" i="4"/>
  <c r="F363" i="4" s="1"/>
  <c r="F362" i="4" s="1"/>
  <c r="F381" i="4"/>
  <c r="F380" i="4" s="1"/>
  <c r="F379" i="4" s="1"/>
  <c r="F419" i="4"/>
  <c r="F418" i="4" s="1"/>
  <c r="F417" i="4" s="1"/>
  <c r="M176" i="1"/>
  <c r="F482" i="4"/>
  <c r="F481" i="4" s="1"/>
  <c r="M109" i="1"/>
  <c r="M104" i="1"/>
  <c r="M103" i="1" s="1"/>
  <c r="F578" i="4"/>
  <c r="F577" i="4" s="1"/>
  <c r="F581" i="4"/>
  <c r="N582" i="4"/>
  <c r="O582" i="4"/>
  <c r="F572" i="4"/>
  <c r="F574" i="4"/>
  <c r="F569" i="4"/>
  <c r="E568" i="4"/>
  <c r="E567" i="4" s="1"/>
  <c r="E564" i="4" s="1"/>
  <c r="F498" i="4"/>
  <c r="F497" i="4" s="1"/>
  <c r="F496" i="4" s="1"/>
  <c r="F295" i="4"/>
  <c r="F294" i="4" s="1"/>
  <c r="F293" i="4" s="1"/>
  <c r="M191" i="1"/>
  <c r="M190" i="1" s="1"/>
  <c r="M188" i="1"/>
  <c r="F259" i="4"/>
  <c r="M149" i="1"/>
  <c r="M122" i="1"/>
  <c r="M121" i="1"/>
  <c r="F14" i="4"/>
  <c r="M154" i="1"/>
  <c r="M132" i="1"/>
  <c r="M113" i="1"/>
  <c r="M111" i="1"/>
  <c r="M110" i="1"/>
  <c r="M102" i="1"/>
  <c r="F562" i="4"/>
  <c r="E562" i="4"/>
  <c r="E550" i="4" s="1"/>
  <c r="E547" i="4" s="1"/>
  <c r="F557" i="4"/>
  <c r="E555" i="4"/>
  <c r="F547" i="4"/>
  <c r="F543" i="4"/>
  <c r="F540" i="4"/>
  <c r="F537" i="4"/>
  <c r="E536" i="4"/>
  <c r="E535" i="4" s="1"/>
  <c r="E532" i="4" s="1"/>
  <c r="M186" i="1"/>
  <c r="M184" i="1"/>
  <c r="M182" i="1"/>
  <c r="M130" i="1"/>
  <c r="M211" i="1"/>
  <c r="M210" i="1" s="1"/>
  <c r="M114" i="1"/>
  <c r="M169" i="1"/>
  <c r="M146" i="1"/>
  <c r="M126" i="1"/>
  <c r="F444" i="4"/>
  <c r="F443" i="4" s="1"/>
  <c r="F442" i="4" s="1"/>
  <c r="F119" i="4"/>
  <c r="F118" i="4" s="1"/>
  <c r="F117" i="4" s="1"/>
  <c r="F462" i="4"/>
  <c r="F461" i="4" s="1"/>
  <c r="F460" i="4" s="1"/>
  <c r="O464" i="4"/>
  <c r="F412" i="4"/>
  <c r="F411" i="4" s="1"/>
  <c r="F106" i="4"/>
  <c r="F105" i="4" s="1"/>
  <c r="F101" i="4"/>
  <c r="F103" i="4"/>
  <c r="M76" i="1"/>
  <c r="M89" i="1"/>
  <c r="M88" i="1" s="1"/>
  <c r="J88" i="1"/>
  <c r="M68" i="1"/>
  <c r="M95" i="1"/>
  <c r="M94" i="1" s="1"/>
  <c r="M16" i="1" s="1"/>
  <c r="M134" i="1"/>
  <c r="M173" i="1"/>
  <c r="M92" i="1"/>
  <c r="M91" i="1" s="1"/>
  <c r="M183" i="1"/>
  <c r="M181" i="1"/>
  <c r="M180" i="1"/>
  <c r="M162" i="1"/>
  <c r="M160" i="1"/>
  <c r="M158" i="1"/>
  <c r="M150" i="1"/>
  <c r="M145" i="1"/>
  <c r="M142" i="1"/>
  <c r="M141" i="1"/>
  <c r="M140" i="1"/>
  <c r="M135" i="1"/>
  <c r="M133" i="1"/>
  <c r="M131" i="1"/>
  <c r="M128" i="1"/>
  <c r="M125" i="1"/>
  <c r="M124" i="1"/>
  <c r="M123" i="1"/>
  <c r="M119" i="1"/>
  <c r="M117" i="1"/>
  <c r="M116" i="1"/>
  <c r="M115" i="1"/>
  <c r="M108" i="1"/>
  <c r="F53" i="4"/>
  <c r="F45" i="4"/>
  <c r="F36" i="4"/>
  <c r="F30" i="4"/>
  <c r="F21" i="4"/>
  <c r="F18" i="4"/>
  <c r="F16" i="4"/>
  <c r="F476" i="4"/>
  <c r="F210" i="4"/>
  <c r="F183" i="4"/>
  <c r="F182" i="4" s="1"/>
  <c r="F181" i="4" s="1"/>
  <c r="F469" i="4"/>
  <c r="F314" i="4"/>
  <c r="F313" i="4" s="1"/>
  <c r="F450" i="4"/>
  <c r="F449" i="4" s="1"/>
  <c r="F448" i="4" s="1"/>
  <c r="F438" i="4"/>
  <c r="F436" i="4"/>
  <c r="F396" i="4"/>
  <c r="F395" i="4" s="1"/>
  <c r="F394" i="4" s="1"/>
  <c r="F358" i="4"/>
  <c r="F356" i="4"/>
  <c r="F350" i="4"/>
  <c r="F349" i="4" s="1"/>
  <c r="F344" i="4"/>
  <c r="F343" i="4" s="1"/>
  <c r="F342" i="4" s="1"/>
  <c r="F338" i="4"/>
  <c r="F337" i="4" s="1"/>
  <c r="F336" i="4" s="1"/>
  <c r="F332" i="4"/>
  <c r="F331" i="4" s="1"/>
  <c r="F330" i="4" s="1"/>
  <c r="F326" i="4"/>
  <c r="F320" i="4"/>
  <c r="F319" i="4" s="1"/>
  <c r="F318" i="4" s="1"/>
  <c r="F310" i="4"/>
  <c r="F309" i="4" s="1"/>
  <c r="F304" i="4"/>
  <c r="F302" i="4"/>
  <c r="F289" i="4"/>
  <c r="F288" i="4" s="1"/>
  <c r="F287" i="4" s="1"/>
  <c r="F282" i="4"/>
  <c r="F276" i="4"/>
  <c r="F275" i="4" s="1"/>
  <c r="F274" i="4" s="1"/>
  <c r="F269" i="4"/>
  <c r="F267" i="4"/>
  <c r="F256" i="4"/>
  <c r="F250" i="4"/>
  <c r="F243" i="4"/>
  <c r="F242" i="4" s="1"/>
  <c r="F241" i="4" s="1"/>
  <c r="F238" i="4" s="1"/>
  <c r="F235" i="4"/>
  <c r="F234" i="4" s="1"/>
  <c r="F233" i="4" s="1"/>
  <c r="F228" i="4"/>
  <c r="F227" i="4" s="1"/>
  <c r="F226" i="4" s="1"/>
  <c r="F222" i="4"/>
  <c r="F221" i="4" s="1"/>
  <c r="F216" i="4"/>
  <c r="F215" i="4" s="1"/>
  <c r="F214" i="4" s="1"/>
  <c r="F203" i="4"/>
  <c r="F202" i="4" s="1"/>
  <c r="F201" i="4" s="1"/>
  <c r="F197" i="4"/>
  <c r="F196" i="4" s="1"/>
  <c r="F195" i="4" s="1"/>
  <c r="F190" i="4"/>
  <c r="F189" i="4" s="1"/>
  <c r="F188" i="4" s="1"/>
  <c r="F185" i="4" s="1"/>
  <c r="F141" i="4"/>
  <c r="F140" i="4" s="1"/>
  <c r="F139" i="4" s="1"/>
  <c r="F136" i="4" s="1"/>
  <c r="F133" i="4"/>
  <c r="F132" i="4" s="1"/>
  <c r="F131" i="4" s="1"/>
  <c r="F126" i="4"/>
  <c r="F113" i="4"/>
  <c r="F112" i="4" s="1"/>
  <c r="F111" i="4" s="1"/>
  <c r="F90" i="4"/>
  <c r="F89" i="4" s="1"/>
  <c r="F88" i="4" s="1"/>
  <c r="F85" i="4" s="1"/>
  <c r="F83" i="4"/>
  <c r="F82" i="4" s="1"/>
  <c r="F81" i="4" s="1"/>
  <c r="F77" i="4"/>
  <c r="F76" i="4" s="1"/>
  <c r="F75" i="4" s="1"/>
  <c r="F71" i="4"/>
  <c r="F70" i="4" s="1"/>
  <c r="F69" i="4" s="1"/>
  <c r="E431" i="4"/>
  <c r="E385" i="4"/>
  <c r="E297" i="4"/>
  <c r="E271" i="4"/>
  <c r="E245" i="4"/>
  <c r="E205" i="4"/>
  <c r="E150" i="4"/>
  <c r="E90" i="4"/>
  <c r="F61" i="4"/>
  <c r="F60" i="4" s="1"/>
  <c r="F59" i="4" s="1"/>
  <c r="E61" i="4"/>
  <c r="E53" i="4"/>
  <c r="E47" i="4"/>
  <c r="E36" i="4"/>
  <c r="E30" i="4"/>
  <c r="E21" i="4"/>
  <c r="E13" i="4"/>
  <c r="E12" i="4" s="1"/>
  <c r="E7" i="4"/>
  <c r="E583" i="4"/>
  <c r="E581" i="4" s="1"/>
  <c r="E578" i="4" s="1"/>
  <c r="M192" i="1"/>
  <c r="J23" i="3"/>
  <c r="J495" i="3"/>
  <c r="J473" i="3"/>
  <c r="J466" i="3"/>
  <c r="J459" i="3"/>
  <c r="J439" i="3"/>
  <c r="J432" i="3"/>
  <c r="J424" i="3"/>
  <c r="J419" i="3"/>
  <c r="J410" i="3"/>
  <c r="J407" i="3"/>
  <c r="J390" i="3"/>
  <c r="J383" i="3"/>
  <c r="J376" i="3"/>
  <c r="J367" i="3"/>
  <c r="J360" i="3"/>
  <c r="J352" i="3"/>
  <c r="J343" i="3"/>
  <c r="J332" i="3"/>
  <c r="J318" i="3"/>
  <c r="J307" i="3"/>
  <c r="J298" i="3"/>
  <c r="J291" i="3"/>
  <c r="J275" i="3"/>
  <c r="J272" i="3"/>
  <c r="J260" i="3"/>
  <c r="J249" i="3"/>
  <c r="J240" i="3"/>
  <c r="J232" i="3"/>
  <c r="J229" i="3"/>
  <c r="J222" i="3"/>
  <c r="J215" i="3"/>
  <c r="J204" i="3"/>
  <c r="J195" i="3"/>
  <c r="J188" i="3"/>
  <c r="J184" i="3"/>
  <c r="J172" i="3"/>
  <c r="J163" i="3"/>
  <c r="J156" i="3"/>
  <c r="J149" i="3"/>
  <c r="J140" i="3"/>
  <c r="J129" i="3"/>
  <c r="J119" i="3"/>
  <c r="J112" i="3"/>
  <c r="J102" i="3"/>
  <c r="J91" i="3"/>
  <c r="J67" i="3"/>
  <c r="J57" i="3"/>
  <c r="J49" i="3"/>
  <c r="J38" i="3"/>
  <c r="J32" i="3"/>
  <c r="J17" i="3"/>
  <c r="G406" i="3"/>
  <c r="H406" i="3"/>
  <c r="J406" i="3" s="1"/>
  <c r="H31" i="3"/>
  <c r="H27" i="3" s="1"/>
  <c r="I497" i="3"/>
  <c r="I486" i="3"/>
  <c r="I475" i="3"/>
  <c r="I468" i="3"/>
  <c r="I461" i="3"/>
  <c r="I451" i="3"/>
  <c r="I454" i="3"/>
  <c r="I441" i="3"/>
  <c r="I444" i="3"/>
  <c r="I434" i="3"/>
  <c r="I421" i="3"/>
  <c r="I423" i="3"/>
  <c r="I426" i="3"/>
  <c r="I409" i="3"/>
  <c r="I412" i="3"/>
  <c r="I402" i="3"/>
  <c r="I392" i="3"/>
  <c r="I385" i="3"/>
  <c r="I378" i="3"/>
  <c r="I369" i="3"/>
  <c r="I362" i="3"/>
  <c r="I354" i="3"/>
  <c r="I355" i="3"/>
  <c r="I345" i="3"/>
  <c r="I347" i="3"/>
  <c r="I334" i="3"/>
  <c r="I320" i="3"/>
  <c r="I321" i="3"/>
  <c r="I323" i="3"/>
  <c r="I309" i="3"/>
  <c r="I311" i="3"/>
  <c r="I293" i="3"/>
  <c r="I294" i="3"/>
  <c r="I296" i="3"/>
  <c r="I297" i="3"/>
  <c r="I300" i="3"/>
  <c r="I286" i="3"/>
  <c r="I274" i="3"/>
  <c r="I277" i="3"/>
  <c r="I279" i="3"/>
  <c r="I262" i="3"/>
  <c r="I263" i="3"/>
  <c r="I265" i="3"/>
  <c r="I251" i="3"/>
  <c r="I242" i="3"/>
  <c r="I231" i="3"/>
  <c r="I234" i="3"/>
  <c r="I224" i="3"/>
  <c r="I217" i="3"/>
  <c r="I206" i="3"/>
  <c r="I197" i="3"/>
  <c r="I186" i="3"/>
  <c r="I187" i="3"/>
  <c r="I190" i="3"/>
  <c r="I174" i="3"/>
  <c r="I165" i="3"/>
  <c r="I158" i="3"/>
  <c r="I151" i="3"/>
  <c r="I142" i="3"/>
  <c r="I131" i="3"/>
  <c r="I121" i="3"/>
  <c r="I114" i="3"/>
  <c r="I104" i="3"/>
  <c r="I105" i="3"/>
  <c r="I106" i="3"/>
  <c r="I107" i="3"/>
  <c r="I69" i="3"/>
  <c r="I70" i="3"/>
  <c r="I71" i="3"/>
  <c r="I72" i="3"/>
  <c r="I74" i="3"/>
  <c r="I75" i="3"/>
  <c r="I76" i="3"/>
  <c r="I77" i="3"/>
  <c r="I78" i="3"/>
  <c r="I79" i="3"/>
  <c r="I80" i="3"/>
  <c r="I81" i="3"/>
  <c r="I83" i="3"/>
  <c r="I85" i="3"/>
  <c r="I86" i="3"/>
  <c r="I87" i="3"/>
  <c r="I88" i="3"/>
  <c r="I89" i="3"/>
  <c r="I90" i="3"/>
  <c r="I95" i="3"/>
  <c r="I96" i="3"/>
  <c r="I97" i="3"/>
  <c r="I51" i="3"/>
  <c r="I53" i="3"/>
  <c r="I55" i="3"/>
  <c r="I56" i="3"/>
  <c r="I59" i="3"/>
  <c r="I60" i="3"/>
  <c r="I61" i="3"/>
  <c r="I62" i="3"/>
  <c r="I34" i="3"/>
  <c r="I36" i="3"/>
  <c r="I37" i="3"/>
  <c r="I40" i="3"/>
  <c r="I19" i="3"/>
  <c r="I21" i="3"/>
  <c r="I22" i="3"/>
  <c r="I25" i="3"/>
  <c r="F276" i="3"/>
  <c r="I276" i="3" s="1"/>
  <c r="F241" i="3"/>
  <c r="G228" i="3"/>
  <c r="J228" i="3" s="1"/>
  <c r="F411" i="3"/>
  <c r="I411" i="3" s="1"/>
  <c r="E411" i="3"/>
  <c r="E410" i="3" s="1"/>
  <c r="F173" i="3"/>
  <c r="I173" i="3" s="1"/>
  <c r="G148" i="3"/>
  <c r="G144" i="3" s="1"/>
  <c r="E150" i="3"/>
  <c r="E149" i="3" s="1"/>
  <c r="E148" i="3" s="1"/>
  <c r="E144" i="3" s="1"/>
  <c r="F150" i="3"/>
  <c r="F149" i="3" s="1"/>
  <c r="I149" i="3" s="1"/>
  <c r="G155" i="3"/>
  <c r="J155" i="3" s="1"/>
  <c r="H155" i="3"/>
  <c r="F157" i="3"/>
  <c r="F319" i="3"/>
  <c r="I319" i="3" s="1"/>
  <c r="H317" i="3"/>
  <c r="H313" i="3" s="1"/>
  <c r="F164" i="3"/>
  <c r="F84" i="3"/>
  <c r="I84" i="3" s="1"/>
  <c r="F73" i="3"/>
  <c r="I73" i="3" s="1"/>
  <c r="F425" i="3"/>
  <c r="E425" i="3"/>
  <c r="E424" i="3" s="1"/>
  <c r="H494" i="3"/>
  <c r="G494" i="3"/>
  <c r="F496" i="3"/>
  <c r="F495" i="3" s="1"/>
  <c r="E496" i="3"/>
  <c r="E495" i="3" s="1"/>
  <c r="E494" i="3" s="1"/>
  <c r="E490" i="3" s="1"/>
  <c r="E488" i="3" s="1"/>
  <c r="H449" i="3"/>
  <c r="H448" i="3" s="1"/>
  <c r="G449" i="3"/>
  <c r="G448" i="3" s="1"/>
  <c r="F450" i="3"/>
  <c r="E450" i="3"/>
  <c r="E449" i="3" s="1"/>
  <c r="F453" i="3"/>
  <c r="I453" i="3" s="1"/>
  <c r="E453" i="3"/>
  <c r="E452" i="3" s="1"/>
  <c r="F443" i="3"/>
  <c r="F442" i="3" s="1"/>
  <c r="I442" i="3" s="1"/>
  <c r="H442" i="3"/>
  <c r="J442" i="3" s="1"/>
  <c r="F440" i="3"/>
  <c r="E440" i="3"/>
  <c r="E439" i="3" s="1"/>
  <c r="F408" i="3"/>
  <c r="F407" i="3" s="1"/>
  <c r="I407" i="3" s="1"/>
  <c r="E408" i="3"/>
  <c r="E407" i="3" s="1"/>
  <c r="E406" i="3" s="1"/>
  <c r="E250" i="3"/>
  <c r="E249" i="3" s="1"/>
  <c r="E248" i="3" s="1"/>
  <c r="E244" i="3" s="1"/>
  <c r="F250" i="3"/>
  <c r="G248" i="3"/>
  <c r="G244" i="3" s="1"/>
  <c r="H248" i="3"/>
  <c r="H244" i="3" s="1"/>
  <c r="J244" i="3" s="1"/>
  <c r="E164" i="3"/>
  <c r="E163" i="3" s="1"/>
  <c r="E162" i="3" s="1"/>
  <c r="E157" i="3"/>
  <c r="E156" i="3" s="1"/>
  <c r="E155" i="3" s="1"/>
  <c r="F233" i="3"/>
  <c r="E233" i="3"/>
  <c r="E232" i="3" s="1"/>
  <c r="E173" i="3"/>
  <c r="E172" i="3" s="1"/>
  <c r="E171" i="3" s="1"/>
  <c r="E167" i="3" s="1"/>
  <c r="H171" i="3"/>
  <c r="H162" i="3"/>
  <c r="J162" i="3" s="1"/>
  <c r="G171" i="3"/>
  <c r="G167" i="3" s="1"/>
  <c r="G162" i="3"/>
  <c r="F39" i="3"/>
  <c r="E39" i="3"/>
  <c r="E38" i="3" s="1"/>
  <c r="F35" i="3"/>
  <c r="E35" i="3"/>
  <c r="F33" i="3"/>
  <c r="E33" i="3"/>
  <c r="F24" i="3"/>
  <c r="F20" i="3"/>
  <c r="I20" i="3" s="1"/>
  <c r="H16" i="3"/>
  <c r="J16" i="3" s="1"/>
  <c r="F18" i="3"/>
  <c r="I18" i="3" s="1"/>
  <c r="E18" i="3"/>
  <c r="F92" i="3"/>
  <c r="E92" i="3"/>
  <c r="H284" i="3"/>
  <c r="H283" i="3" s="1"/>
  <c r="G284" i="3"/>
  <c r="G283" i="3" s="1"/>
  <c r="F285" i="3"/>
  <c r="F284" i="3" s="1"/>
  <c r="F283" i="3" s="1"/>
  <c r="E285" i="3"/>
  <c r="E284" i="3" s="1"/>
  <c r="E283" i="3" s="1"/>
  <c r="H393" i="3"/>
  <c r="H389" i="3" s="1"/>
  <c r="G393" i="3"/>
  <c r="G389" i="3" s="1"/>
  <c r="F394" i="3"/>
  <c r="F393" i="3" s="1"/>
  <c r="E394" i="3"/>
  <c r="E393" i="3"/>
  <c r="H484" i="3"/>
  <c r="H483" i="3" s="1"/>
  <c r="H479" i="3" s="1"/>
  <c r="H477" i="3" s="1"/>
  <c r="G484" i="3"/>
  <c r="F485" i="3"/>
  <c r="I485" i="3"/>
  <c r="E485" i="3"/>
  <c r="E484" i="3" s="1"/>
  <c r="E483" i="3" s="1"/>
  <c r="E479" i="3" s="1"/>
  <c r="E477" i="3" s="1"/>
  <c r="H472" i="3"/>
  <c r="G472" i="3"/>
  <c r="F474" i="3"/>
  <c r="E474" i="3"/>
  <c r="E473" i="3" s="1"/>
  <c r="E472" i="3" s="1"/>
  <c r="H465" i="3"/>
  <c r="G465" i="3"/>
  <c r="F467" i="3"/>
  <c r="F466" i="3" s="1"/>
  <c r="E467" i="3"/>
  <c r="H458" i="3"/>
  <c r="G458" i="3"/>
  <c r="F460" i="3"/>
  <c r="E460" i="3"/>
  <c r="E459" i="3"/>
  <c r="E458" i="3" s="1"/>
  <c r="E443" i="3"/>
  <c r="E442" i="3" s="1"/>
  <c r="H431" i="3"/>
  <c r="G431" i="3"/>
  <c r="J431" i="3" s="1"/>
  <c r="F433" i="3"/>
  <c r="E433" i="3"/>
  <c r="E432" i="3" s="1"/>
  <c r="E431" i="3" s="1"/>
  <c r="F422" i="3"/>
  <c r="I422" i="3"/>
  <c r="E422" i="3"/>
  <c r="H418" i="3"/>
  <c r="G418" i="3"/>
  <c r="F420" i="3"/>
  <c r="E420" i="3"/>
  <c r="E419" i="3" s="1"/>
  <c r="E418" i="3" s="1"/>
  <c r="H400" i="3"/>
  <c r="J400" i="3" s="1"/>
  <c r="G399" i="3"/>
  <c r="F401" i="3"/>
  <c r="I401" i="3" s="1"/>
  <c r="E401" i="3"/>
  <c r="E400" i="3" s="1"/>
  <c r="E399" i="3" s="1"/>
  <c r="F391" i="3"/>
  <c r="I391" i="3" s="1"/>
  <c r="E391" i="3"/>
  <c r="E390" i="3" s="1"/>
  <c r="H382" i="3"/>
  <c r="G382" i="3"/>
  <c r="F384" i="3"/>
  <c r="E384" i="3"/>
  <c r="E383" i="3" s="1"/>
  <c r="E382" i="3" s="1"/>
  <c r="H375" i="3"/>
  <c r="G375" i="3"/>
  <c r="F377" i="3"/>
  <c r="E377" i="3"/>
  <c r="E376" i="3"/>
  <c r="E375" i="3" s="1"/>
  <c r="H366" i="3"/>
  <c r="G366" i="3"/>
  <c r="F368" i="3"/>
  <c r="E368" i="3"/>
  <c r="E367" i="3" s="1"/>
  <c r="E366" i="3"/>
  <c r="H359" i="3"/>
  <c r="G359" i="3"/>
  <c r="F361" i="3"/>
  <c r="E361" i="3"/>
  <c r="H351" i="3"/>
  <c r="J351" i="3" s="1"/>
  <c r="G351" i="3"/>
  <c r="F353" i="3"/>
  <c r="E353" i="3"/>
  <c r="E352" i="3"/>
  <c r="E351" i="3" s="1"/>
  <c r="F346" i="3"/>
  <c r="E346" i="3"/>
  <c r="H342" i="3"/>
  <c r="G342" i="3"/>
  <c r="F344" i="3"/>
  <c r="E344" i="3"/>
  <c r="E343" i="3" s="1"/>
  <c r="E342" i="3" s="1"/>
  <c r="H331" i="3"/>
  <c r="H327" i="3" s="1"/>
  <c r="G331" i="3"/>
  <c r="G327" i="3" s="1"/>
  <c r="G325" i="3" s="1"/>
  <c r="F333" i="3"/>
  <c r="F332" i="3" s="1"/>
  <c r="F331" i="3" s="1"/>
  <c r="E333" i="3"/>
  <c r="E332" i="3" s="1"/>
  <c r="E331" i="3"/>
  <c r="E327" i="3" s="1"/>
  <c r="E325" i="3" s="1"/>
  <c r="F322" i="3"/>
  <c r="I322" i="3" s="1"/>
  <c r="E322" i="3"/>
  <c r="E319" i="3"/>
  <c r="E318" i="3" s="1"/>
  <c r="E317" i="3"/>
  <c r="E313" i="3" s="1"/>
  <c r="F310" i="3"/>
  <c r="I310" i="3" s="1"/>
  <c r="E310" i="3"/>
  <c r="F308" i="3"/>
  <c r="E308" i="3"/>
  <c r="E307" i="3"/>
  <c r="E306" i="3" s="1"/>
  <c r="E302" i="3" s="1"/>
  <c r="G290" i="3"/>
  <c r="F299" i="3"/>
  <c r="F298" i="3"/>
  <c r="I298" i="3" s="1"/>
  <c r="E299" i="3"/>
  <c r="E298" i="3" s="1"/>
  <c r="F295" i="3"/>
  <c r="I295" i="3" s="1"/>
  <c r="E295" i="3"/>
  <c r="F292" i="3"/>
  <c r="E292" i="3"/>
  <c r="F278" i="3"/>
  <c r="E278" i="3"/>
  <c r="E276" i="3"/>
  <c r="E275" i="3" s="1"/>
  <c r="F273" i="3"/>
  <c r="I273" i="3"/>
  <c r="E273" i="3"/>
  <c r="E272" i="3" s="1"/>
  <c r="G259" i="3"/>
  <c r="G255" i="3" s="1"/>
  <c r="F264" i="3"/>
  <c r="I264" i="3" s="1"/>
  <c r="E264" i="3"/>
  <c r="H259" i="3"/>
  <c r="H255" i="3" s="1"/>
  <c r="J255" i="3" s="1"/>
  <c r="F261" i="3"/>
  <c r="I261" i="3" s="1"/>
  <c r="E261" i="3"/>
  <c r="H239" i="3"/>
  <c r="G239" i="3"/>
  <c r="E241" i="3"/>
  <c r="E240" i="3" s="1"/>
  <c r="E239" i="3" s="1"/>
  <c r="F230" i="3"/>
  <c r="E230" i="3"/>
  <c r="E229" i="3" s="1"/>
  <c r="H221" i="3"/>
  <c r="G221" i="3"/>
  <c r="F223" i="3"/>
  <c r="E223" i="3"/>
  <c r="E222" i="3" s="1"/>
  <c r="E221" i="3" s="1"/>
  <c r="H214" i="3"/>
  <c r="G214" i="3"/>
  <c r="F216" i="3"/>
  <c r="E216" i="3"/>
  <c r="E215" i="3" s="1"/>
  <c r="E214" i="3"/>
  <c r="H203" i="3"/>
  <c r="G203" i="3"/>
  <c r="F205" i="3"/>
  <c r="I205" i="3" s="1"/>
  <c r="E205" i="3"/>
  <c r="E204" i="3" s="1"/>
  <c r="E203" i="3" s="1"/>
  <c r="E199" i="3" s="1"/>
  <c r="H194" i="3"/>
  <c r="G194" i="3"/>
  <c r="F196" i="3"/>
  <c r="E196" i="3"/>
  <c r="E195" i="3" s="1"/>
  <c r="E194" i="3" s="1"/>
  <c r="F189" i="3"/>
  <c r="I189" i="3"/>
  <c r="E189" i="3"/>
  <c r="E188" i="3" s="1"/>
  <c r="F185" i="3"/>
  <c r="I185" i="3" s="1"/>
  <c r="E185" i="3"/>
  <c r="E184" i="3" s="1"/>
  <c r="H148" i="3"/>
  <c r="H144" i="3" s="1"/>
  <c r="H139" i="3"/>
  <c r="J139" i="3" s="1"/>
  <c r="G139" i="3"/>
  <c r="F141" i="3"/>
  <c r="F140" i="3" s="1"/>
  <c r="E141" i="3"/>
  <c r="E140" i="3" s="1"/>
  <c r="E139" i="3" s="1"/>
  <c r="E135" i="3" s="1"/>
  <c r="F130" i="3"/>
  <c r="E130" i="3"/>
  <c r="H126" i="3"/>
  <c r="H125" i="3"/>
  <c r="J125" i="3" s="1"/>
  <c r="G126" i="3"/>
  <c r="G125" i="3" s="1"/>
  <c r="F127" i="3"/>
  <c r="F126" i="3" s="1"/>
  <c r="E127" i="3"/>
  <c r="E126" i="3"/>
  <c r="H118" i="3"/>
  <c r="G118" i="3"/>
  <c r="J118" i="3" s="1"/>
  <c r="F120" i="3"/>
  <c r="F119" i="3" s="1"/>
  <c r="E120" i="3"/>
  <c r="E119" i="3" s="1"/>
  <c r="E118" i="3" s="1"/>
  <c r="H111" i="3"/>
  <c r="G111" i="3"/>
  <c r="F113" i="3"/>
  <c r="F112" i="3" s="1"/>
  <c r="I112" i="3" s="1"/>
  <c r="E113" i="3"/>
  <c r="E112" i="3" s="1"/>
  <c r="E111" i="3" s="1"/>
  <c r="H101" i="3"/>
  <c r="G101" i="3"/>
  <c r="F103" i="3"/>
  <c r="E103" i="3"/>
  <c r="E102" i="3" s="1"/>
  <c r="E101" i="3" s="1"/>
  <c r="F94" i="3"/>
  <c r="F91" i="3" s="1"/>
  <c r="I91" i="3" s="1"/>
  <c r="E94" i="3"/>
  <c r="E91" i="3" s="1"/>
  <c r="E84" i="3"/>
  <c r="F82" i="3"/>
  <c r="E82" i="3"/>
  <c r="E73" i="3"/>
  <c r="F68" i="3"/>
  <c r="E68" i="3"/>
  <c r="F58" i="3"/>
  <c r="E58" i="3"/>
  <c r="E57" i="3" s="1"/>
  <c r="F54" i="3"/>
  <c r="I54" i="3" s="1"/>
  <c r="E54" i="3"/>
  <c r="G48" i="3"/>
  <c r="F52" i="3"/>
  <c r="I52" i="3" s="1"/>
  <c r="E52" i="3"/>
  <c r="H48" i="3"/>
  <c r="F50" i="3"/>
  <c r="E50" i="3"/>
  <c r="E49" i="3" s="1"/>
  <c r="E24" i="3"/>
  <c r="E23" i="3" s="1"/>
  <c r="E20" i="3"/>
  <c r="E17" i="3"/>
  <c r="K55" i="1"/>
  <c r="J91" i="1"/>
  <c r="L74" i="1"/>
  <c r="K74" i="1"/>
  <c r="J74" i="1"/>
  <c r="U105" i="1"/>
  <c r="J78" i="1"/>
  <c r="J65" i="1"/>
  <c r="M217" i="1"/>
  <c r="M216" i="1" s="1"/>
  <c r="M215" i="1" s="1"/>
  <c r="M28" i="1" s="1"/>
  <c r="M201" i="1"/>
  <c r="M200" i="1" s="1"/>
  <c r="M166" i="1"/>
  <c r="M137" i="1"/>
  <c r="M65" i="1"/>
  <c r="L217" i="1"/>
  <c r="L216" i="1" s="1"/>
  <c r="L215" i="1" s="1"/>
  <c r="L28" i="1" s="1"/>
  <c r="L201" i="1"/>
  <c r="L200" i="1" s="1"/>
  <c r="K201" i="1"/>
  <c r="K200" i="1" s="1"/>
  <c r="L190" i="1"/>
  <c r="L179" i="1"/>
  <c r="L175" i="1"/>
  <c r="L172" i="1"/>
  <c r="L171" i="1" s="1"/>
  <c r="L168" i="1"/>
  <c r="L159" i="1"/>
  <c r="L157" i="1"/>
  <c r="L156" i="1" s="1"/>
  <c r="L152" i="1"/>
  <c r="L151" i="1" s="1"/>
  <c r="L129" i="1"/>
  <c r="L127" i="1"/>
  <c r="L118" i="1"/>
  <c r="L112" i="1"/>
  <c r="L107" i="1"/>
  <c r="L103" i="1"/>
  <c r="L99" i="1"/>
  <c r="L96" i="1"/>
  <c r="L84" i="1"/>
  <c r="L83" i="1"/>
  <c r="L82" i="1"/>
  <c r="L81" i="1"/>
  <c r="L78" i="1"/>
  <c r="L77" i="1"/>
  <c r="L73" i="1"/>
  <c r="L65" i="1"/>
  <c r="L55" i="1"/>
  <c r="L50" i="1"/>
  <c r="L49" i="1"/>
  <c r="L40" i="1"/>
  <c r="K190" i="1"/>
  <c r="K179" i="1"/>
  <c r="K175" i="1"/>
  <c r="K172" i="1"/>
  <c r="K171" i="1" s="1"/>
  <c r="K168" i="1"/>
  <c r="K159" i="1"/>
  <c r="K157" i="1"/>
  <c r="K152" i="1"/>
  <c r="K151" i="1" s="1"/>
  <c r="K148" i="1"/>
  <c r="K147" i="1" s="1"/>
  <c r="K139" i="1"/>
  <c r="K137" i="1"/>
  <c r="K129" i="1"/>
  <c r="K127" i="1"/>
  <c r="K118" i="1"/>
  <c r="K112" i="1"/>
  <c r="K107" i="1"/>
  <c r="K103" i="1"/>
  <c r="K99" i="1"/>
  <c r="K96" i="1"/>
  <c r="K84" i="1"/>
  <c r="K82" i="1"/>
  <c r="K81" i="1"/>
  <c r="K78" i="1"/>
  <c r="K77" i="1"/>
  <c r="K73" i="1"/>
  <c r="K65" i="1"/>
  <c r="K52" i="1"/>
  <c r="K50" i="1"/>
  <c r="K49" i="1"/>
  <c r="K40" i="1"/>
  <c r="J217" i="1"/>
  <c r="J216" i="1" s="1"/>
  <c r="J190" i="1"/>
  <c r="J179" i="1"/>
  <c r="J175" i="1"/>
  <c r="J172" i="1"/>
  <c r="J171" i="1" s="1"/>
  <c r="J168" i="1"/>
  <c r="J161" i="1"/>
  <c r="J159" i="1"/>
  <c r="J157" i="1"/>
  <c r="J156" i="1" s="1"/>
  <c r="J152" i="1"/>
  <c r="J151" i="1" s="1"/>
  <c r="J148" i="1"/>
  <c r="J147" i="1" s="1"/>
  <c r="J139" i="1"/>
  <c r="J129" i="1"/>
  <c r="J118" i="1"/>
  <c r="J112" i="1"/>
  <c r="J107" i="1"/>
  <c r="J103" i="1"/>
  <c r="J101" i="1"/>
  <c r="J99" i="1"/>
  <c r="J96" i="1"/>
  <c r="J95" i="1" s="1"/>
  <c r="J94" i="1" s="1"/>
  <c r="J16" i="1" s="1"/>
  <c r="J84" i="1"/>
  <c r="J83" i="1"/>
  <c r="J82" i="1"/>
  <c r="J77" i="1"/>
  <c r="J73" i="1"/>
  <c r="J55" i="1"/>
  <c r="J53" i="1"/>
  <c r="J52" i="1"/>
  <c r="J50" i="1"/>
  <c r="J49" i="1"/>
  <c r="J40" i="1"/>
  <c r="L192" i="1"/>
  <c r="K192" i="1"/>
  <c r="J127" i="1"/>
  <c r="L185" i="1"/>
  <c r="K185" i="1"/>
  <c r="J185" i="1"/>
  <c r="K83" i="1"/>
  <c r="J81" i="1"/>
  <c r="L52" i="1"/>
  <c r="L53" i="1"/>
  <c r="K53" i="1"/>
  <c r="L166" i="1"/>
  <c r="K166" i="1"/>
  <c r="J166" i="1"/>
  <c r="K217" i="1"/>
  <c r="K216" i="1" s="1"/>
  <c r="K215" i="1" s="1"/>
  <c r="K28" i="1" s="1"/>
  <c r="M163" i="1"/>
  <c r="J163" i="1"/>
  <c r="K161" i="1"/>
  <c r="K163" i="1"/>
  <c r="L161" i="1"/>
  <c r="L163" i="1"/>
  <c r="J192" i="1"/>
  <c r="L101" i="1"/>
  <c r="L137" i="1"/>
  <c r="L139" i="1"/>
  <c r="L144" i="1"/>
  <c r="L143" i="1" s="1"/>
  <c r="L148" i="1"/>
  <c r="L147" i="1" s="1"/>
  <c r="K101" i="1"/>
  <c r="K144" i="1"/>
  <c r="K143" i="1" s="1"/>
  <c r="J137" i="1"/>
  <c r="J144" i="1"/>
  <c r="J143" i="1" s="1"/>
  <c r="L210" i="1"/>
  <c r="M208" i="1"/>
  <c r="L208" i="1"/>
  <c r="M205" i="1"/>
  <c r="M204" i="1" s="1"/>
  <c r="L205" i="1"/>
  <c r="L204" i="1" s="1"/>
  <c r="M198" i="1"/>
  <c r="M197" i="1" s="1"/>
  <c r="L198" i="1"/>
  <c r="L197" i="1" s="1"/>
  <c r="K210" i="1"/>
  <c r="K208" i="1"/>
  <c r="K205" i="1"/>
  <c r="K204" i="1" s="1"/>
  <c r="K198" i="1"/>
  <c r="K197" i="1" s="1"/>
  <c r="J210" i="1"/>
  <c r="J208" i="1"/>
  <c r="J205" i="1"/>
  <c r="J204" i="1" s="1"/>
  <c r="J201" i="1"/>
  <c r="J200" i="1" s="1"/>
  <c r="J198" i="1"/>
  <c r="J197" i="1" s="1"/>
  <c r="H306" i="3"/>
  <c r="J452" i="3"/>
  <c r="H183" i="3"/>
  <c r="H178" i="3" s="1"/>
  <c r="G271" i="3"/>
  <c r="J271" i="3" s="1"/>
  <c r="H228" i="3"/>
  <c r="G183" i="3"/>
  <c r="G178" i="3" s="1"/>
  <c r="H271" i="3"/>
  <c r="H290" i="3"/>
  <c r="J290" i="3" s="1"/>
  <c r="G66" i="3"/>
  <c r="G16" i="3"/>
  <c r="E360" i="3"/>
  <c r="E359" i="3" s="1"/>
  <c r="G438" i="3"/>
  <c r="G31" i="3"/>
  <c r="G27" i="3" s="1"/>
  <c r="H66" i="3"/>
  <c r="E129" i="3"/>
  <c r="E125" i="3" s="1"/>
  <c r="E466" i="3"/>
  <c r="E465" i="3" s="1"/>
  <c r="G317" i="3"/>
  <c r="G306" i="3"/>
  <c r="I496" i="3"/>
  <c r="I467" i="3"/>
  <c r="F410" i="3"/>
  <c r="I141" i="3"/>
  <c r="H399" i="3"/>
  <c r="F172" i="3"/>
  <c r="I172" i="3" s="1"/>
  <c r="F272" i="3"/>
  <c r="I113" i="3"/>
  <c r="F184" i="3"/>
  <c r="I184" i="3" s="1"/>
  <c r="F188" i="3"/>
  <c r="I188" i="3" s="1"/>
  <c r="I278" i="3"/>
  <c r="F275" i="3"/>
  <c r="I275" i="3" s="1"/>
  <c r="I353" i="3"/>
  <c r="F352" i="3"/>
  <c r="I361" i="3"/>
  <c r="F360" i="3"/>
  <c r="F359" i="3" s="1"/>
  <c r="I359" i="3" s="1"/>
  <c r="F484" i="3"/>
  <c r="I408" i="3"/>
  <c r="F439" i="3"/>
  <c r="I439" i="3" s="1"/>
  <c r="I440" i="3"/>
  <c r="I443" i="3"/>
  <c r="H438" i="3"/>
  <c r="J472" i="3"/>
  <c r="L68" i="1"/>
  <c r="J68" i="1"/>
  <c r="I299" i="3"/>
  <c r="I120" i="3"/>
  <c r="H135" i="3"/>
  <c r="J135" i="3" s="1"/>
  <c r="F204" i="3"/>
  <c r="F203" i="3" s="1"/>
  <c r="I203" i="3" s="1"/>
  <c r="F148" i="3"/>
  <c r="M80" i="1"/>
  <c r="I333" i="3"/>
  <c r="J418" i="3"/>
  <c r="K68" i="1"/>
  <c r="I346" i="3"/>
  <c r="I460" i="3"/>
  <c r="F459" i="3"/>
  <c r="H490" i="3"/>
  <c r="H488" i="3" s="1"/>
  <c r="J48" i="3"/>
  <c r="M51" i="1"/>
  <c r="I272" i="3"/>
  <c r="F483" i="3"/>
  <c r="F479" i="3" s="1"/>
  <c r="F477" i="3" s="1"/>
  <c r="J317" i="3"/>
  <c r="G313" i="3"/>
  <c r="J313" i="3" s="1"/>
  <c r="I384" i="3"/>
  <c r="F383" i="3"/>
  <c r="F382" i="3" s="1"/>
  <c r="I33" i="3"/>
  <c r="M48" i="1"/>
  <c r="M40" i="1"/>
  <c r="F390" i="4"/>
  <c r="F177" i="4"/>
  <c r="F176" i="4" s="1"/>
  <c r="F175" i="4" s="1"/>
  <c r="J331" i="3"/>
  <c r="F343" i="3"/>
  <c r="I344" i="3"/>
  <c r="I216" i="3"/>
  <c r="F215" i="3"/>
  <c r="I215" i="3" s="1"/>
  <c r="F260" i="3"/>
  <c r="G135" i="3"/>
  <c r="F139" i="3"/>
  <c r="F135" i="3" s="1"/>
  <c r="I140" i="3"/>
  <c r="J27" i="3"/>
  <c r="G12" i="3"/>
  <c r="G483" i="3"/>
  <c r="I484" i="3"/>
  <c r="F318" i="3"/>
  <c r="F317" i="3" s="1"/>
  <c r="F438" i="3"/>
  <c r="G302" i="3"/>
  <c r="F229" i="3"/>
  <c r="I229" i="3" s="1"/>
  <c r="I230" i="3"/>
  <c r="F111" i="3"/>
  <c r="I111" i="3" s="1"/>
  <c r="G199" i="3"/>
  <c r="J359" i="3"/>
  <c r="F47" i="4"/>
  <c r="M84" i="1"/>
  <c r="M157" i="1"/>
  <c r="F419" i="3"/>
  <c r="I420" i="3"/>
  <c r="F465" i="3"/>
  <c r="I465" i="3" s="1"/>
  <c r="I466" i="3"/>
  <c r="J66" i="3"/>
  <c r="F214" i="3"/>
  <c r="F249" i="3"/>
  <c r="I249" i="3" s="1"/>
  <c r="I250" i="3"/>
  <c r="F449" i="3"/>
  <c r="I450" i="3"/>
  <c r="J183" i="3"/>
  <c r="I82" i="3"/>
  <c r="I383" i="3"/>
  <c r="J31" i="3"/>
  <c r="F248" i="3"/>
  <c r="F244" i="3" s="1"/>
  <c r="I244" i="3" s="1"/>
  <c r="I419" i="3"/>
  <c r="I248" i="3"/>
  <c r="P146" i="1" l="1"/>
  <c r="I119" i="4"/>
  <c r="J297" i="4"/>
  <c r="P111" i="1"/>
  <c r="I476" i="4"/>
  <c r="I475" i="4" s="1"/>
  <c r="I474" i="4" s="1"/>
  <c r="I461" i="4"/>
  <c r="I460" i="4" s="1"/>
  <c r="I396" i="4"/>
  <c r="I395" i="4" s="1"/>
  <c r="I394" i="4" s="1"/>
  <c r="P121" i="1"/>
  <c r="P104" i="1"/>
  <c r="P103" i="1" s="1"/>
  <c r="I546" i="4"/>
  <c r="I16" i="4"/>
  <c r="P100" i="1"/>
  <c r="P99" i="1" s="1"/>
  <c r="P109" i="1"/>
  <c r="I259" i="4"/>
  <c r="I568" i="4"/>
  <c r="I18" i="4"/>
  <c r="I578" i="4"/>
  <c r="I577" i="4" s="1"/>
  <c r="I469" i="4"/>
  <c r="I468" i="4" s="1"/>
  <c r="I467" i="4" s="1"/>
  <c r="P193" i="1"/>
  <c r="P192" i="1" s="1"/>
  <c r="P115" i="1"/>
  <c r="N130" i="1"/>
  <c r="I164" i="4"/>
  <c r="I163" i="4" s="1"/>
  <c r="I162" i="4" s="1"/>
  <c r="I118" i="4"/>
  <c r="I117" i="4" s="1"/>
  <c r="I412" i="4"/>
  <c r="I411" i="4" s="1"/>
  <c r="I410" i="4" s="1"/>
  <c r="P145" i="1"/>
  <c r="I113" i="4"/>
  <c r="I112" i="4" s="1"/>
  <c r="I111" i="4" s="1"/>
  <c r="I243" i="4"/>
  <c r="I242" i="4" s="1"/>
  <c r="I241" i="4" s="1"/>
  <c r="I238" i="4" s="1"/>
  <c r="I302" i="4"/>
  <c r="I301" i="4" s="1"/>
  <c r="I300" i="4" s="1"/>
  <c r="P114" i="1"/>
  <c r="I21" i="4"/>
  <c r="I20" i="4" s="1"/>
  <c r="P108" i="1"/>
  <c r="I30" i="4"/>
  <c r="P119" i="1"/>
  <c r="I36" i="4"/>
  <c r="P128" i="1"/>
  <c r="P127" i="1" s="1"/>
  <c r="I45" i="4"/>
  <c r="P180" i="1"/>
  <c r="I61" i="4"/>
  <c r="I60" i="4" s="1"/>
  <c r="I59" i="4" s="1"/>
  <c r="I90" i="4"/>
  <c r="I89" i="4" s="1"/>
  <c r="I88" i="4" s="1"/>
  <c r="I85" i="4" s="1"/>
  <c r="I141" i="4"/>
  <c r="I140" i="4" s="1"/>
  <c r="I139" i="4" s="1"/>
  <c r="I136" i="4" s="1"/>
  <c r="I228" i="4"/>
  <c r="I227" i="4" s="1"/>
  <c r="I226" i="4" s="1"/>
  <c r="P117" i="1"/>
  <c r="I126" i="4"/>
  <c r="I125" i="4" s="1"/>
  <c r="I124" i="4" s="1"/>
  <c r="I121" i="4" s="1"/>
  <c r="I190" i="4"/>
  <c r="I189" i="4" s="1"/>
  <c r="I188" i="4" s="1"/>
  <c r="I185" i="4" s="1"/>
  <c r="P160" i="1"/>
  <c r="P159" i="1" s="1"/>
  <c r="I269" i="4"/>
  <c r="I266" i="4" s="1"/>
  <c r="I265" i="4" s="1"/>
  <c r="I262" i="4" s="1"/>
  <c r="P173" i="1"/>
  <c r="P172" i="1" s="1"/>
  <c r="P171" i="1" s="1"/>
  <c r="I390" i="4"/>
  <c r="I389" i="4" s="1"/>
  <c r="I388" i="4" s="1"/>
  <c r="P116" i="1"/>
  <c r="P162" i="1"/>
  <c r="P161" i="1" s="1"/>
  <c r="I83" i="4"/>
  <c r="I82" i="4" s="1"/>
  <c r="I81" i="4" s="1"/>
  <c r="P150" i="1"/>
  <c r="I197" i="4"/>
  <c r="I196" i="4" s="1"/>
  <c r="I195" i="4" s="1"/>
  <c r="P131" i="1"/>
  <c r="I47" i="4"/>
  <c r="P140" i="1"/>
  <c r="P139" i="1" s="1"/>
  <c r="P136" i="1" s="1"/>
  <c r="I53" i="4"/>
  <c r="I52" i="4" s="1"/>
  <c r="I156" i="4"/>
  <c r="I155" i="4" s="1"/>
  <c r="I154" i="4" s="1"/>
  <c r="I235" i="4"/>
  <c r="I234" i="4" s="1"/>
  <c r="I233" i="4" s="1"/>
  <c r="I256" i="4"/>
  <c r="P122" i="1"/>
  <c r="I363" i="4"/>
  <c r="I362" i="4" s="1"/>
  <c r="I364" i="4"/>
  <c r="I435" i="4"/>
  <c r="I434" i="4" s="1"/>
  <c r="P113" i="1"/>
  <c r="I310" i="4"/>
  <c r="I309" i="4" s="1"/>
  <c r="I308" i="4" s="1"/>
  <c r="I203" i="4"/>
  <c r="P123" i="1"/>
  <c r="O386" i="4"/>
  <c r="O385" i="4"/>
  <c r="I134" i="4"/>
  <c r="I438" i="3"/>
  <c r="I483" i="3"/>
  <c r="G479" i="3"/>
  <c r="G477" i="3" s="1"/>
  <c r="I477" i="3" s="1"/>
  <c r="I148" i="3"/>
  <c r="I360" i="3"/>
  <c r="F458" i="3"/>
  <c r="I458" i="3" s="1"/>
  <c r="I459" i="3"/>
  <c r="F271" i="3"/>
  <c r="I271" i="3" s="1"/>
  <c r="J178" i="3"/>
  <c r="J144" i="3"/>
  <c r="I377" i="3"/>
  <c r="F376" i="3"/>
  <c r="F313" i="3"/>
  <c r="I313" i="3" s="1"/>
  <c r="I317" i="3"/>
  <c r="F23" i="3"/>
  <c r="I23" i="3" s="1"/>
  <c r="I24" i="3"/>
  <c r="I35" i="3"/>
  <c r="F32" i="3"/>
  <c r="I32" i="3" s="1"/>
  <c r="I343" i="3"/>
  <c r="F342" i="3"/>
  <c r="I342" i="3" s="1"/>
  <c r="F129" i="3"/>
  <c r="F125" i="3" s="1"/>
  <c r="I125" i="3" s="1"/>
  <c r="I130" i="3"/>
  <c r="I196" i="3"/>
  <c r="F195" i="3"/>
  <c r="I195" i="3" s="1"/>
  <c r="I204" i="3"/>
  <c r="F199" i="3"/>
  <c r="I199" i="3" s="1"/>
  <c r="J248" i="3"/>
  <c r="I318" i="3"/>
  <c r="J12" i="3"/>
  <c r="F171" i="3"/>
  <c r="F183" i="3"/>
  <c r="I183" i="3" s="1"/>
  <c r="F400" i="3"/>
  <c r="F17" i="3"/>
  <c r="F16" i="3" s="1"/>
  <c r="E48" i="3"/>
  <c r="I68" i="3"/>
  <c r="F67" i="3"/>
  <c r="I67" i="3" s="1"/>
  <c r="I103" i="3"/>
  <c r="F102" i="3"/>
  <c r="F118" i="3"/>
  <c r="I118" i="3" s="1"/>
  <c r="I119" i="3"/>
  <c r="F291" i="3"/>
  <c r="F290" i="3" s="1"/>
  <c r="I290" i="3" s="1"/>
  <c r="I292" i="3"/>
  <c r="J366" i="3"/>
  <c r="F432" i="3"/>
  <c r="I433" i="3"/>
  <c r="E228" i="3"/>
  <c r="J342" i="3"/>
  <c r="J448" i="3"/>
  <c r="E67" i="3"/>
  <c r="E66" i="3" s="1"/>
  <c r="E44" i="3" s="1"/>
  <c r="E42" i="3" s="1"/>
  <c r="H44" i="3"/>
  <c r="E183" i="3"/>
  <c r="E178" i="3" s="1"/>
  <c r="E338" i="3"/>
  <c r="H371" i="3"/>
  <c r="E448" i="3"/>
  <c r="E210" i="3"/>
  <c r="E208" i="3" s="1"/>
  <c r="J389" i="3"/>
  <c r="H414" i="3"/>
  <c r="J414" i="3" s="1"/>
  <c r="F452" i="3"/>
  <c r="I452" i="3" s="1"/>
  <c r="H12" i="3"/>
  <c r="H10" i="3" s="1"/>
  <c r="J259" i="3"/>
  <c r="I150" i="3"/>
  <c r="H338" i="3"/>
  <c r="I285" i="3"/>
  <c r="H210" i="3"/>
  <c r="H208" i="3" s="1"/>
  <c r="E260" i="3"/>
  <c r="E259" i="3" s="1"/>
  <c r="E255" i="3" s="1"/>
  <c r="J465" i="3"/>
  <c r="E32" i="3"/>
  <c r="N135" i="1"/>
  <c r="F66" i="3"/>
  <c r="I66" i="3" s="1"/>
  <c r="H336" i="3"/>
  <c r="F473" i="3"/>
  <c r="I474" i="3"/>
  <c r="I233" i="3"/>
  <c r="F232" i="3"/>
  <c r="I232" i="3" s="1"/>
  <c r="I241" i="3"/>
  <c r="F240" i="3"/>
  <c r="G176" i="3"/>
  <c r="H42" i="3"/>
  <c r="F390" i="3"/>
  <c r="I410" i="3"/>
  <c r="F406" i="3"/>
  <c r="I406" i="3" s="1"/>
  <c r="H302" i="3"/>
  <c r="J302" i="3" s="1"/>
  <c r="J306" i="3"/>
  <c r="I129" i="3"/>
  <c r="H199" i="3"/>
  <c r="H176" i="3" s="1"/>
  <c r="J203" i="3"/>
  <c r="G210" i="3"/>
  <c r="G208" i="3" s="1"/>
  <c r="J208" i="3" s="1"/>
  <c r="J214" i="3"/>
  <c r="F327" i="3"/>
  <c r="I331" i="3"/>
  <c r="I368" i="3"/>
  <c r="F367" i="3"/>
  <c r="G267" i="3"/>
  <c r="G253" i="3" s="1"/>
  <c r="I283" i="3"/>
  <c r="I39" i="3"/>
  <c r="F38" i="3"/>
  <c r="H167" i="3"/>
  <c r="J167" i="3" s="1"/>
  <c r="J171" i="3"/>
  <c r="I164" i="3"/>
  <c r="F163" i="3"/>
  <c r="I157" i="3"/>
  <c r="F156" i="3"/>
  <c r="I449" i="3"/>
  <c r="F448" i="3"/>
  <c r="I448" i="3" s="1"/>
  <c r="H133" i="3"/>
  <c r="I479" i="3"/>
  <c r="J148" i="3"/>
  <c r="I260" i="3"/>
  <c r="F259" i="3"/>
  <c r="I332" i="3"/>
  <c r="I17" i="3"/>
  <c r="J399" i="3"/>
  <c r="G414" i="3"/>
  <c r="I291" i="3"/>
  <c r="E389" i="3"/>
  <c r="E371" i="3" s="1"/>
  <c r="H267" i="3"/>
  <c r="E31" i="3"/>
  <c r="E27" i="3" s="1"/>
  <c r="E438" i="3"/>
  <c r="I495" i="3"/>
  <c r="F494" i="3"/>
  <c r="F490" i="3" s="1"/>
  <c r="F488" i="3" s="1"/>
  <c r="I425" i="3"/>
  <c r="F424" i="3"/>
  <c r="I352" i="3"/>
  <c r="F351" i="3"/>
  <c r="F57" i="3"/>
  <c r="I57" i="3" s="1"/>
  <c r="I58" i="3"/>
  <c r="G44" i="3"/>
  <c r="J111" i="3"/>
  <c r="I223" i="3"/>
  <c r="F222" i="3"/>
  <c r="I308" i="3"/>
  <c r="F307" i="3"/>
  <c r="J371" i="3"/>
  <c r="J382" i="3"/>
  <c r="I382" i="3"/>
  <c r="G371" i="3"/>
  <c r="I94" i="3"/>
  <c r="J101" i="3"/>
  <c r="F49" i="3"/>
  <c r="I50" i="3"/>
  <c r="J327" i="3"/>
  <c r="H325" i="3"/>
  <c r="J325" i="3" s="1"/>
  <c r="G490" i="3"/>
  <c r="I494" i="3"/>
  <c r="J494" i="3"/>
  <c r="O91" i="1"/>
  <c r="U91" i="1" s="1"/>
  <c r="U92" i="1"/>
  <c r="O352" i="4"/>
  <c r="E16" i="3"/>
  <c r="E12" i="3" s="1"/>
  <c r="E10" i="3" s="1"/>
  <c r="J239" i="3"/>
  <c r="E271" i="3"/>
  <c r="J458" i="3"/>
  <c r="I284" i="3"/>
  <c r="H118" i="4"/>
  <c r="N119" i="4"/>
  <c r="H313" i="4"/>
  <c r="N313" i="4" s="1"/>
  <c r="N314" i="4"/>
  <c r="O215" i="1"/>
  <c r="U216" i="1"/>
  <c r="G133" i="3"/>
  <c r="I135" i="3"/>
  <c r="J194" i="3"/>
  <c r="H234" i="4"/>
  <c r="N235" i="4"/>
  <c r="O159" i="1"/>
  <c r="U159" i="1" s="1"/>
  <c r="U160" i="1"/>
  <c r="J564" i="4"/>
  <c r="I214" i="3"/>
  <c r="J199" i="3"/>
  <c r="J438" i="3"/>
  <c r="E291" i="3"/>
  <c r="E290" i="3" s="1"/>
  <c r="G338" i="3"/>
  <c r="O88" i="1"/>
  <c r="U88" i="1" s="1"/>
  <c r="U89" i="1"/>
  <c r="O127" i="1"/>
  <c r="U127" i="1" s="1"/>
  <c r="U128" i="1"/>
  <c r="O161" i="1"/>
  <c r="U161" i="1" s="1"/>
  <c r="U162" i="1"/>
  <c r="O172" i="1"/>
  <c r="U173" i="1"/>
  <c r="O494" i="4"/>
  <c r="O173" i="4"/>
  <c r="O272" i="4"/>
  <c r="O94" i="1"/>
  <c r="U95" i="1"/>
  <c r="O168" i="1"/>
  <c r="U168" i="1" s="1"/>
  <c r="U169" i="1"/>
  <c r="O278" i="4"/>
  <c r="J271" i="4"/>
  <c r="O271" i="4" s="1"/>
  <c r="J238" i="4"/>
  <c r="O238" i="4" s="1"/>
  <c r="O241" i="4"/>
  <c r="O458" i="4"/>
  <c r="O446" i="4"/>
  <c r="O408" i="4"/>
  <c r="O193" i="4"/>
  <c r="J192" i="4"/>
  <c r="O192" i="4" s="1"/>
  <c r="O298" i="4"/>
  <c r="O291" i="4"/>
  <c r="O285" i="4"/>
  <c r="J284" i="4"/>
  <c r="O284" i="4" s="1"/>
  <c r="O179" i="4"/>
  <c r="J85" i="4"/>
  <c r="O85" i="4" s="1"/>
  <c r="O86" i="4"/>
  <c r="V136" i="1"/>
  <c r="J9" i="4"/>
  <c r="Q15" i="1"/>
  <c r="V15" i="1" s="1"/>
  <c r="V38" i="1"/>
  <c r="I444" i="4"/>
  <c r="I443" i="4" s="1"/>
  <c r="I442" i="4" s="1"/>
  <c r="O103" i="1"/>
  <c r="U103" i="1" s="1"/>
  <c r="U104" i="1"/>
  <c r="O99" i="1"/>
  <c r="U99" i="1" s="1"/>
  <c r="U100" i="1"/>
  <c r="J136" i="4"/>
  <c r="O137" i="4"/>
  <c r="O340" i="4"/>
  <c r="J262" i="4"/>
  <c r="O262" i="4" s="1"/>
  <c r="O67" i="4"/>
  <c r="O79" i="4"/>
  <c r="O109" i="4"/>
  <c r="J108" i="4"/>
  <c r="J121" i="4"/>
  <c r="O124" i="4"/>
  <c r="O224" i="4"/>
  <c r="J245" i="4"/>
  <c r="O245" i="4" s="1"/>
  <c r="O252" i="4"/>
  <c r="O398" i="4"/>
  <c r="O472" i="4"/>
  <c r="J185" i="4"/>
  <c r="O185" i="4" s="1"/>
  <c r="O186" i="4"/>
  <c r="O485" i="4"/>
  <c r="H482" i="4"/>
  <c r="H481" i="4" s="1"/>
  <c r="H480" i="4" s="1"/>
  <c r="I483" i="4"/>
  <c r="I482" i="4" s="1"/>
  <c r="I481" i="4" s="1"/>
  <c r="I480" i="4" s="1"/>
  <c r="F164" i="4"/>
  <c r="F163" i="4" s="1"/>
  <c r="F156" i="4" s="1"/>
  <c r="F155" i="4" s="1"/>
  <c r="F154" i="4" s="1"/>
  <c r="F150" i="4" s="1"/>
  <c r="G162" i="4"/>
  <c r="I71" i="4"/>
  <c r="P135" i="1"/>
  <c r="P39" i="1"/>
  <c r="P169" i="1"/>
  <c r="P168" i="1" s="1"/>
  <c r="P154" i="1"/>
  <c r="N169" i="1"/>
  <c r="N168" i="1" s="1"/>
  <c r="N115" i="1"/>
  <c r="N182" i="1"/>
  <c r="N111" i="1"/>
  <c r="N116" i="1"/>
  <c r="N122" i="1"/>
  <c r="N126" i="1"/>
  <c r="N114" i="1"/>
  <c r="N146" i="1"/>
  <c r="N144" i="1" s="1"/>
  <c r="N143" i="1" s="1"/>
  <c r="N109" i="1"/>
  <c r="N124" i="1"/>
  <c r="N153" i="1"/>
  <c r="P184" i="1"/>
  <c r="N128" i="1"/>
  <c r="N127" i="1" s="1"/>
  <c r="N162" i="1"/>
  <c r="N161" i="1" s="1"/>
  <c r="N186" i="1"/>
  <c r="N185" i="1" s="1"/>
  <c r="K9" i="4"/>
  <c r="N184" i="1"/>
  <c r="N177" i="1"/>
  <c r="N102" i="1"/>
  <c r="N101" i="1" s="1"/>
  <c r="N121" i="1"/>
  <c r="N132" i="1"/>
  <c r="N154" i="1"/>
  <c r="N123" i="1"/>
  <c r="N191" i="1"/>
  <c r="N190" i="1" s="1"/>
  <c r="N189" i="1" s="1"/>
  <c r="P182" i="1"/>
  <c r="P153" i="1"/>
  <c r="N178" i="1"/>
  <c r="I407" i="4"/>
  <c r="P177" i="1" s="1"/>
  <c r="N100" i="1"/>
  <c r="N99" i="1" s="1"/>
  <c r="N157" i="1"/>
  <c r="N156" i="1" s="1"/>
  <c r="N113" i="1"/>
  <c r="N131" i="1"/>
  <c r="N150" i="1"/>
  <c r="N148" i="1" s="1"/>
  <c r="N147" i="1" s="1"/>
  <c r="N104" i="1"/>
  <c r="N103" i="1" s="1"/>
  <c r="O107" i="1"/>
  <c r="U107" i="1" s="1"/>
  <c r="O152" i="1"/>
  <c r="O207" i="1"/>
  <c r="O203" i="1" s="1"/>
  <c r="O24" i="1" s="1"/>
  <c r="R57" i="1"/>
  <c r="R55" i="1" s="1"/>
  <c r="R63" i="1"/>
  <c r="R61" i="1" s="1"/>
  <c r="O64" i="1"/>
  <c r="U64" i="1" s="1"/>
  <c r="P207" i="1"/>
  <c r="P203" i="1" s="1"/>
  <c r="P24" i="1" s="1"/>
  <c r="O196" i="1"/>
  <c r="O23" i="1" s="1"/>
  <c r="P196" i="1"/>
  <c r="P23" i="1" s="1"/>
  <c r="O144" i="1"/>
  <c r="O179" i="1"/>
  <c r="U179" i="1" s="1"/>
  <c r="P75" i="1"/>
  <c r="P64" i="1"/>
  <c r="P54" i="1"/>
  <c r="O39" i="1"/>
  <c r="U39" i="1" s="1"/>
  <c r="N120" i="1"/>
  <c r="O54" i="1"/>
  <c r="U54" i="1" s="1"/>
  <c r="O75" i="1"/>
  <c r="U75" i="1" s="1"/>
  <c r="O112" i="1"/>
  <c r="U112" i="1" s="1"/>
  <c r="O139" i="1"/>
  <c r="M196" i="1"/>
  <c r="M23" i="1" s="1"/>
  <c r="N207" i="1"/>
  <c r="N203" i="1" s="1"/>
  <c r="N24" i="1" s="1"/>
  <c r="L136" i="1"/>
  <c r="N75" i="1"/>
  <c r="K64" i="1"/>
  <c r="K61" i="1" s="1"/>
  <c r="K58" i="1" s="1"/>
  <c r="K54" i="1" s="1"/>
  <c r="N139" i="1"/>
  <c r="N136" i="1" s="1"/>
  <c r="N64" i="1"/>
  <c r="N39" i="1"/>
  <c r="N54" i="1"/>
  <c r="N196" i="1"/>
  <c r="N23" i="1" s="1"/>
  <c r="M39" i="1"/>
  <c r="I284" i="4"/>
  <c r="H133" i="4"/>
  <c r="H132" i="4" s="1"/>
  <c r="H131" i="4" s="1"/>
  <c r="H128" i="4" s="1"/>
  <c r="I271" i="4"/>
  <c r="H412" i="4"/>
  <c r="G18" i="4"/>
  <c r="I382" i="4"/>
  <c r="H450" i="4"/>
  <c r="N438" i="4"/>
  <c r="G16" i="4"/>
  <c r="G77" i="4"/>
  <c r="G76" i="4" s="1"/>
  <c r="G75" i="4" s="1"/>
  <c r="H77" i="4"/>
  <c r="G113" i="4"/>
  <c r="G112" i="4" s="1"/>
  <c r="G111" i="4" s="1"/>
  <c r="H113" i="4"/>
  <c r="G183" i="4"/>
  <c r="G182" i="4" s="1"/>
  <c r="G181" i="4" s="1"/>
  <c r="H183" i="4"/>
  <c r="G222" i="4"/>
  <c r="G221" i="4" s="1"/>
  <c r="G220" i="4" s="1"/>
  <c r="H222" i="4"/>
  <c r="O148" i="1"/>
  <c r="G269" i="4"/>
  <c r="H269" i="4"/>
  <c r="N269" i="4" s="1"/>
  <c r="G295" i="4"/>
  <c r="G294" i="4" s="1"/>
  <c r="G293" i="4" s="1"/>
  <c r="H295" i="4"/>
  <c r="G338" i="4"/>
  <c r="G337" i="4" s="1"/>
  <c r="G336" i="4" s="1"/>
  <c r="H338" i="4"/>
  <c r="G358" i="4"/>
  <c r="H358" i="4"/>
  <c r="H390" i="4"/>
  <c r="G390" i="4"/>
  <c r="G389" i="4" s="1"/>
  <c r="G388" i="4" s="1"/>
  <c r="G444" i="4"/>
  <c r="G443" i="4" s="1"/>
  <c r="G442" i="4" s="1"/>
  <c r="H444" i="4"/>
  <c r="G476" i="4"/>
  <c r="G475" i="4" s="1"/>
  <c r="G474" i="4" s="1"/>
  <c r="G540" i="4"/>
  <c r="G536" i="4" s="1"/>
  <c r="G557" i="4"/>
  <c r="G578" i="4"/>
  <c r="G577" i="4" s="1"/>
  <c r="G467" i="4"/>
  <c r="H21" i="4"/>
  <c r="H36" i="4"/>
  <c r="N36" i="4" s="1"/>
  <c r="H61" i="4"/>
  <c r="H90" i="4"/>
  <c r="H402" i="4"/>
  <c r="H53" i="4"/>
  <c r="H203" i="4"/>
  <c r="H256" i="4"/>
  <c r="H310" i="4"/>
  <c r="G228" i="4"/>
  <c r="G227" i="4" s="1"/>
  <c r="G226" i="4" s="1"/>
  <c r="H228" i="4"/>
  <c r="G276" i="4"/>
  <c r="G275" i="4" s="1"/>
  <c r="G274" i="4" s="1"/>
  <c r="H276" i="4"/>
  <c r="G302" i="4"/>
  <c r="G301" i="4" s="1"/>
  <c r="G300" i="4" s="1"/>
  <c r="H302" i="4"/>
  <c r="G320" i="4"/>
  <c r="G319" i="4" s="1"/>
  <c r="G318" i="4" s="1"/>
  <c r="G344" i="4"/>
  <c r="G343" i="4" s="1"/>
  <c r="G342" i="4" s="1"/>
  <c r="H344" i="4"/>
  <c r="G396" i="4"/>
  <c r="G395" i="4" s="1"/>
  <c r="G394" i="4" s="1"/>
  <c r="H396" i="4"/>
  <c r="G419" i="4"/>
  <c r="G418" i="4" s="1"/>
  <c r="G417" i="4" s="1"/>
  <c r="H419" i="4"/>
  <c r="H418" i="4" s="1"/>
  <c r="H417" i="4" s="1"/>
  <c r="G489" i="4"/>
  <c r="G488" i="4" s="1"/>
  <c r="G487" i="4" s="1"/>
  <c r="G562" i="4"/>
  <c r="H71" i="4"/>
  <c r="H83" i="4"/>
  <c r="H197" i="4"/>
  <c r="H243" i="4"/>
  <c r="N543" i="4"/>
  <c r="G141" i="4"/>
  <c r="G140" i="4" s="1"/>
  <c r="G139" i="4" s="1"/>
  <c r="G136" i="4" s="1"/>
  <c r="H141" i="4"/>
  <c r="G210" i="4"/>
  <c r="G209" i="4" s="1"/>
  <c r="H210" i="4"/>
  <c r="G250" i="4"/>
  <c r="G249" i="4" s="1"/>
  <c r="G248" i="4" s="1"/>
  <c r="H250" i="4"/>
  <c r="G282" i="4"/>
  <c r="G281" i="4" s="1"/>
  <c r="G280" i="4" s="1"/>
  <c r="H282" i="4"/>
  <c r="G326" i="4"/>
  <c r="G325" i="4" s="1"/>
  <c r="G324" i="4" s="1"/>
  <c r="H326" i="4"/>
  <c r="G350" i="4"/>
  <c r="G349" i="4" s="1"/>
  <c r="G348" i="4" s="1"/>
  <c r="H350" i="4"/>
  <c r="G436" i="4"/>
  <c r="G435" i="4" s="1"/>
  <c r="G434" i="4" s="1"/>
  <c r="H436" i="4"/>
  <c r="N436" i="4" s="1"/>
  <c r="G498" i="4"/>
  <c r="G497" i="4" s="1"/>
  <c r="G496" i="4" s="1"/>
  <c r="G547" i="4"/>
  <c r="G546" i="4" s="1"/>
  <c r="N547" i="4"/>
  <c r="G569" i="4"/>
  <c r="N569" i="4"/>
  <c r="H126" i="4"/>
  <c r="H190" i="4"/>
  <c r="H376" i="4"/>
  <c r="O120" i="1" s="1"/>
  <c r="G177" i="4"/>
  <c r="G176" i="4" s="1"/>
  <c r="G175" i="4" s="1"/>
  <c r="H177" i="4"/>
  <c r="G216" i="4"/>
  <c r="G215" i="4" s="1"/>
  <c r="G214" i="4" s="1"/>
  <c r="G267" i="4"/>
  <c r="H267" i="4"/>
  <c r="N267" i="4" s="1"/>
  <c r="G289" i="4"/>
  <c r="G288" i="4" s="1"/>
  <c r="G287" i="4" s="1"/>
  <c r="H289" i="4"/>
  <c r="G332" i="4"/>
  <c r="G331" i="4" s="1"/>
  <c r="G330" i="4" s="1"/>
  <c r="H332" i="4"/>
  <c r="G356" i="4"/>
  <c r="N356" i="4"/>
  <c r="G574" i="4"/>
  <c r="H14" i="4"/>
  <c r="N14" i="4" s="1"/>
  <c r="H45" i="4"/>
  <c r="N45" i="4" s="1"/>
  <c r="O130" i="1"/>
  <c r="N537" i="4"/>
  <c r="N581" i="4"/>
  <c r="G119" i="4"/>
  <c r="G118" i="4" s="1"/>
  <c r="G117" i="4" s="1"/>
  <c r="G259" i="4"/>
  <c r="G133" i="4"/>
  <c r="G132" i="4" s="1"/>
  <c r="G131" i="4" s="1"/>
  <c r="G128" i="4" s="1"/>
  <c r="G482" i="4"/>
  <c r="G481" i="4" s="1"/>
  <c r="G480" i="4" s="1"/>
  <c r="G235" i="4"/>
  <c r="G234" i="4" s="1"/>
  <c r="G233" i="4" s="1"/>
  <c r="F209" i="4"/>
  <c r="F208" i="4" s="1"/>
  <c r="G30" i="4"/>
  <c r="G53" i="4"/>
  <c r="G52" i="4" s="1"/>
  <c r="G412" i="4"/>
  <c r="G411" i="4" s="1"/>
  <c r="G410" i="4" s="1"/>
  <c r="F266" i="4"/>
  <c r="F265" i="4" s="1"/>
  <c r="F262" i="4" s="1"/>
  <c r="G98" i="4"/>
  <c r="G97" i="4" s="1"/>
  <c r="G94" i="4" s="1"/>
  <c r="G21" i="4"/>
  <c r="G20" i="4" s="1"/>
  <c r="G36" i="4"/>
  <c r="G61" i="4"/>
  <c r="G60" i="4" s="1"/>
  <c r="G59" i="4" s="1"/>
  <c r="G90" i="4"/>
  <c r="G89" i="4" s="1"/>
  <c r="G88" i="4" s="1"/>
  <c r="G85" i="4" s="1"/>
  <c r="G47" i="4"/>
  <c r="G203" i="4"/>
  <c r="G202" i="4" s="1"/>
  <c r="G201" i="4" s="1"/>
  <c r="G192" i="4" s="1"/>
  <c r="G256" i="4"/>
  <c r="G310" i="4"/>
  <c r="G309" i="4" s="1"/>
  <c r="G308" i="4" s="1"/>
  <c r="G402" i="4"/>
  <c r="G401" i="4" s="1"/>
  <c r="G400" i="4" s="1"/>
  <c r="E29" i="4"/>
  <c r="E28" i="4" s="1"/>
  <c r="E9" i="4" s="1"/>
  <c r="F52" i="4"/>
  <c r="F568" i="4"/>
  <c r="F567" i="4" s="1"/>
  <c r="F564" i="4" s="1"/>
  <c r="F475" i="4"/>
  <c r="F125" i="4"/>
  <c r="F325" i="4"/>
  <c r="F13" i="4"/>
  <c r="M148" i="1"/>
  <c r="M147" i="1" s="1"/>
  <c r="O581" i="4"/>
  <c r="M185" i="1"/>
  <c r="F355" i="4"/>
  <c r="F354" i="4" s="1"/>
  <c r="F546" i="4"/>
  <c r="F281" i="4"/>
  <c r="F280" i="4" s="1"/>
  <c r="F410" i="4"/>
  <c r="F536" i="4"/>
  <c r="F435" i="4"/>
  <c r="F434" i="4" s="1"/>
  <c r="F308" i="4"/>
  <c r="F29" i="4"/>
  <c r="F108" i="4"/>
  <c r="F301" i="4"/>
  <c r="F300" i="4" s="1"/>
  <c r="F468" i="4"/>
  <c r="F20" i="4"/>
  <c r="F556" i="4"/>
  <c r="F348" i="4"/>
  <c r="F249" i="4"/>
  <c r="M172" i="1"/>
  <c r="F284" i="4"/>
  <c r="F255" i="4"/>
  <c r="F254" i="4" s="1"/>
  <c r="M175" i="1"/>
  <c r="F192" i="4"/>
  <c r="F389" i="4"/>
  <c r="F98" i="4"/>
  <c r="F97" i="4" s="1"/>
  <c r="F94" i="4" s="1"/>
  <c r="K189" i="1"/>
  <c r="K98" i="1"/>
  <c r="L76" i="1"/>
  <c r="M101" i="1"/>
  <c r="J136" i="1"/>
  <c r="K51" i="1"/>
  <c r="K80" i="1"/>
  <c r="M179" i="1"/>
  <c r="M159" i="1"/>
  <c r="J196" i="1"/>
  <c r="J23" i="1" s="1"/>
  <c r="J155" i="1"/>
  <c r="K48" i="1"/>
  <c r="K196" i="1"/>
  <c r="K23" i="1" s="1"/>
  <c r="J48" i="1"/>
  <c r="K106" i="1"/>
  <c r="J189" i="1"/>
  <c r="J64" i="1"/>
  <c r="J61" i="1" s="1"/>
  <c r="J58" i="1" s="1"/>
  <c r="J54" i="1" s="1"/>
  <c r="M168" i="1"/>
  <c r="M144" i="1"/>
  <c r="M143" i="1" s="1"/>
  <c r="M156" i="1"/>
  <c r="M161" i="1"/>
  <c r="L196" i="1"/>
  <c r="L23" i="1" s="1"/>
  <c r="M139" i="1"/>
  <c r="M127" i="1"/>
  <c r="K95" i="1"/>
  <c r="K136" i="1"/>
  <c r="K174" i="1"/>
  <c r="M107" i="1"/>
  <c r="M54" i="1"/>
  <c r="M129" i="1"/>
  <c r="J76" i="1"/>
  <c r="L189" i="1"/>
  <c r="J98" i="1"/>
  <c r="L98" i="1"/>
  <c r="L155" i="1"/>
  <c r="L174" i="1"/>
  <c r="J51" i="1"/>
  <c r="M189" i="1"/>
  <c r="J215" i="1"/>
  <c r="L80" i="1"/>
  <c r="L48" i="1"/>
  <c r="U217" i="1"/>
  <c r="M64" i="1"/>
  <c r="L64" i="1"/>
  <c r="K207" i="1"/>
  <c r="K203" i="1" s="1"/>
  <c r="K24" i="1" s="1"/>
  <c r="M118" i="1"/>
  <c r="L95" i="1"/>
  <c r="L207" i="1"/>
  <c r="L203" i="1" s="1"/>
  <c r="L24" i="1" s="1"/>
  <c r="J80" i="1"/>
  <c r="J106" i="1"/>
  <c r="J174" i="1"/>
  <c r="K156" i="1"/>
  <c r="M152" i="1"/>
  <c r="M207" i="1"/>
  <c r="M203" i="1" s="1"/>
  <c r="M24" i="1" s="1"/>
  <c r="L51" i="1"/>
  <c r="L106" i="1"/>
  <c r="M112" i="1"/>
  <c r="J207" i="1"/>
  <c r="J203" i="1" s="1"/>
  <c r="J24" i="1" s="1"/>
  <c r="J25" i="1" s="1"/>
  <c r="F487" i="4"/>
  <c r="F220" i="4"/>
  <c r="F480" i="4"/>
  <c r="F128" i="4"/>
  <c r="G10" i="3"/>
  <c r="J10" i="3" s="1"/>
  <c r="E414" i="3"/>
  <c r="M75" i="1"/>
  <c r="I139" i="3"/>
  <c r="E176" i="3"/>
  <c r="E133" i="3"/>
  <c r="K76" i="1"/>
  <c r="E557" i="4"/>
  <c r="J375" i="3"/>
  <c r="P178" i="1" l="1"/>
  <c r="O9" i="4"/>
  <c r="P124" i="1"/>
  <c r="I13" i="4"/>
  <c r="I12" i="4" s="1"/>
  <c r="I255" i="4"/>
  <c r="I254" i="4" s="1"/>
  <c r="I245" i="4" s="1"/>
  <c r="I567" i="4"/>
  <c r="I564" i="4" s="1"/>
  <c r="P144" i="1"/>
  <c r="P143" i="1" s="1"/>
  <c r="I70" i="4"/>
  <c r="I69" i="4" s="1"/>
  <c r="J134" i="4"/>
  <c r="K134" i="4" s="1"/>
  <c r="I133" i="4"/>
  <c r="I132" i="4" s="1"/>
  <c r="I131" i="4" s="1"/>
  <c r="I128" i="4" s="1"/>
  <c r="P112" i="1"/>
  <c r="N358" i="4"/>
  <c r="H355" i="4"/>
  <c r="H354" i="4" s="1"/>
  <c r="P107" i="1"/>
  <c r="I402" i="4"/>
  <c r="I401" i="4" s="1"/>
  <c r="I400" i="4" s="1"/>
  <c r="I385" i="4" s="1"/>
  <c r="Q118" i="1"/>
  <c r="O532" i="4"/>
  <c r="K483" i="4"/>
  <c r="I376" i="4"/>
  <c r="P120" i="1" s="1"/>
  <c r="O118" i="1"/>
  <c r="J133" i="3"/>
  <c r="F431" i="3"/>
  <c r="I431" i="3" s="1"/>
  <c r="I432" i="3"/>
  <c r="F399" i="3"/>
  <c r="I399" i="3" s="1"/>
  <c r="I400" i="3"/>
  <c r="F375" i="3"/>
  <c r="I375" i="3" s="1"/>
  <c r="I376" i="3"/>
  <c r="F194" i="3"/>
  <c r="F178" i="3" s="1"/>
  <c r="N550" i="4"/>
  <c r="N546" i="4"/>
  <c r="I102" i="3"/>
  <c r="F101" i="3"/>
  <c r="I101" i="3" s="1"/>
  <c r="F167" i="3"/>
  <c r="I167" i="3" s="1"/>
  <c r="I171" i="3"/>
  <c r="N557" i="4"/>
  <c r="E336" i="3"/>
  <c r="H309" i="4"/>
  <c r="N310" i="4"/>
  <c r="H577" i="4"/>
  <c r="N577" i="4" s="1"/>
  <c r="N578" i="4"/>
  <c r="G42" i="3"/>
  <c r="G499" i="3" s="1"/>
  <c r="F472" i="3"/>
  <c r="I472" i="3" s="1"/>
  <c r="I473" i="3"/>
  <c r="O564" i="4"/>
  <c r="I222" i="3"/>
  <c r="F221" i="3"/>
  <c r="F418" i="3"/>
  <c r="I424" i="3"/>
  <c r="F12" i="3"/>
  <c r="I16" i="3"/>
  <c r="F155" i="3"/>
  <c r="I156" i="3"/>
  <c r="J44" i="3"/>
  <c r="H125" i="4"/>
  <c r="N126" i="4"/>
  <c r="H349" i="4"/>
  <c r="N350" i="4"/>
  <c r="H209" i="4"/>
  <c r="H208" i="4" s="1"/>
  <c r="N210" i="4"/>
  <c r="H82" i="4"/>
  <c r="N83" i="4"/>
  <c r="O108" i="4"/>
  <c r="H117" i="4"/>
  <c r="N115" i="4" s="1"/>
  <c r="N118" i="4"/>
  <c r="J42" i="3"/>
  <c r="N498" i="4"/>
  <c r="H249" i="4"/>
  <c r="N250" i="4"/>
  <c r="H140" i="4"/>
  <c r="N141" i="4"/>
  <c r="N419" i="4"/>
  <c r="H343" i="4"/>
  <c r="N344" i="4"/>
  <c r="H301" i="4"/>
  <c r="N302" i="4"/>
  <c r="N203" i="4"/>
  <c r="H337" i="4"/>
  <c r="N338" i="4"/>
  <c r="H221" i="4"/>
  <c r="N222" i="4"/>
  <c r="H112" i="4"/>
  <c r="N113" i="4"/>
  <c r="O143" i="1"/>
  <c r="U143" i="1" s="1"/>
  <c r="U144" i="1"/>
  <c r="G336" i="3"/>
  <c r="J336" i="3" s="1"/>
  <c r="H233" i="4"/>
  <c r="N233" i="4" s="1"/>
  <c r="N234" i="4"/>
  <c r="F325" i="3"/>
  <c r="I325" i="3" s="1"/>
  <c r="I327" i="3"/>
  <c r="J176" i="3"/>
  <c r="F389" i="3"/>
  <c r="I390" i="3"/>
  <c r="F228" i="3"/>
  <c r="I228" i="3" s="1"/>
  <c r="H319" i="4"/>
  <c r="H318" i="4" s="1"/>
  <c r="N320" i="4"/>
  <c r="H275" i="4"/>
  <c r="N276" i="4"/>
  <c r="H294" i="4"/>
  <c r="N295" i="4"/>
  <c r="H182" i="4"/>
  <c r="N183" i="4"/>
  <c r="U215" i="1"/>
  <c r="F255" i="3"/>
  <c r="I259" i="3"/>
  <c r="H176" i="4"/>
  <c r="N177" i="4"/>
  <c r="H52" i="4"/>
  <c r="N52" i="4" s="1"/>
  <c r="N53" i="4"/>
  <c r="H389" i="4"/>
  <c r="N390" i="4"/>
  <c r="O136" i="1"/>
  <c r="U136" i="1" s="1"/>
  <c r="U139" i="1"/>
  <c r="O121" i="4"/>
  <c r="O171" i="1"/>
  <c r="U171" i="1" s="1"/>
  <c r="U172" i="1"/>
  <c r="E267" i="3"/>
  <c r="E253" i="3" s="1"/>
  <c r="E499" i="3" s="1"/>
  <c r="E8" i="3" s="1"/>
  <c r="I490" i="3"/>
  <c r="J490" i="3"/>
  <c r="G488" i="3"/>
  <c r="F48" i="3"/>
  <c r="I49" i="3"/>
  <c r="I307" i="3"/>
  <c r="F306" i="3"/>
  <c r="I351" i="3"/>
  <c r="J267" i="3"/>
  <c r="H253" i="3"/>
  <c r="J253" i="3" s="1"/>
  <c r="F267" i="3"/>
  <c r="I267" i="3" s="1"/>
  <c r="F162" i="3"/>
  <c r="I162" i="3" s="1"/>
  <c r="I163" i="3"/>
  <c r="I38" i="3"/>
  <c r="F31" i="3"/>
  <c r="F366" i="3"/>
  <c r="I366" i="3" s="1"/>
  <c r="I367" i="3"/>
  <c r="J210" i="3"/>
  <c r="I240" i="3"/>
  <c r="F239" i="3"/>
  <c r="I239" i="3" s="1"/>
  <c r="J338" i="3"/>
  <c r="O16" i="1"/>
  <c r="U94" i="1"/>
  <c r="N489" i="4"/>
  <c r="H475" i="4"/>
  <c r="N476" i="4"/>
  <c r="H461" i="4"/>
  <c r="H460" i="4" s="1"/>
  <c r="N462" i="4"/>
  <c r="H449" i="4"/>
  <c r="N450" i="4"/>
  <c r="H411" i="4"/>
  <c r="N412" i="4"/>
  <c r="H395" i="4"/>
  <c r="N396" i="4"/>
  <c r="H255" i="4"/>
  <c r="N256" i="4"/>
  <c r="H242" i="4"/>
  <c r="N243" i="4"/>
  <c r="H227" i="4"/>
  <c r="N228" i="4"/>
  <c r="H196" i="4"/>
  <c r="N197" i="4"/>
  <c r="O147" i="1"/>
  <c r="J150" i="4"/>
  <c r="O150" i="4" s="1"/>
  <c r="O155" i="4"/>
  <c r="N155" i="4"/>
  <c r="O136" i="4"/>
  <c r="R15" i="1"/>
  <c r="Q14" i="1"/>
  <c r="V14" i="1" s="1"/>
  <c r="H443" i="4"/>
  <c r="N444" i="4"/>
  <c r="H401" i="4"/>
  <c r="N402" i="4"/>
  <c r="H331" i="4"/>
  <c r="N332" i="4"/>
  <c r="H325" i="4"/>
  <c r="N326" i="4"/>
  <c r="H288" i="4"/>
  <c r="N289" i="4"/>
  <c r="H281" i="4"/>
  <c r="N282" i="4"/>
  <c r="H189" i="4"/>
  <c r="N190" i="4"/>
  <c r="O151" i="1"/>
  <c r="U151" i="1" s="1"/>
  <c r="U152" i="1"/>
  <c r="H89" i="4"/>
  <c r="N90" i="4"/>
  <c r="H76" i="4"/>
  <c r="N77" i="4"/>
  <c r="H70" i="4"/>
  <c r="N71" i="4"/>
  <c r="H60" i="4"/>
  <c r="N61" i="4"/>
  <c r="H20" i="4"/>
  <c r="N20" i="4" s="1"/>
  <c r="N21" i="4"/>
  <c r="P152" i="1"/>
  <c r="P151" i="1" s="1"/>
  <c r="O175" i="1"/>
  <c r="H435" i="4"/>
  <c r="G164" i="4"/>
  <c r="G163" i="4" s="1"/>
  <c r="G156" i="4" s="1"/>
  <c r="G155" i="4" s="1"/>
  <c r="G154" i="4" s="1"/>
  <c r="G150" i="4" s="1"/>
  <c r="I150" i="4"/>
  <c r="I108" i="4"/>
  <c r="N107" i="1"/>
  <c r="N129" i="1"/>
  <c r="N152" i="1"/>
  <c r="N151" i="1" s="1"/>
  <c r="G13" i="4"/>
  <c r="G12" i="4" s="1"/>
  <c r="N179" i="1"/>
  <c r="N155" i="1"/>
  <c r="P179" i="1"/>
  <c r="I192" i="4"/>
  <c r="N98" i="1"/>
  <c r="I29" i="4"/>
  <c r="I28" i="4" s="1"/>
  <c r="N112" i="1"/>
  <c r="N118" i="1"/>
  <c r="F271" i="4"/>
  <c r="N175" i="1"/>
  <c r="O190" i="1"/>
  <c r="G431" i="4"/>
  <c r="I541" i="4"/>
  <c r="I217" i="4"/>
  <c r="O185" i="1"/>
  <c r="I563" i="4"/>
  <c r="I562" i="4" s="1"/>
  <c r="O132" i="1"/>
  <c r="O25" i="1"/>
  <c r="M25" i="1"/>
  <c r="P25" i="1"/>
  <c r="R54" i="1"/>
  <c r="R38" i="1" s="1"/>
  <c r="P38" i="1"/>
  <c r="O38" i="1"/>
  <c r="N38" i="1"/>
  <c r="N15" i="1" s="1"/>
  <c r="N14" i="1" s="1"/>
  <c r="K170" i="1"/>
  <c r="K19" i="1" s="1"/>
  <c r="K39" i="1"/>
  <c r="N25" i="1"/>
  <c r="I102" i="4"/>
  <c r="P126" i="1" s="1"/>
  <c r="H381" i="4"/>
  <c r="I381" i="4"/>
  <c r="I380" i="4" s="1"/>
  <c r="I379" i="4" s="1"/>
  <c r="N536" i="4"/>
  <c r="H216" i="4"/>
  <c r="H215" i="4" s="1"/>
  <c r="H214" i="4" s="1"/>
  <c r="H106" i="4"/>
  <c r="H105" i="4" s="1"/>
  <c r="O157" i="1" s="1"/>
  <c r="O156" i="1" s="1"/>
  <c r="I107" i="4"/>
  <c r="H556" i="4"/>
  <c r="I104" i="4"/>
  <c r="H374" i="4"/>
  <c r="H373" i="4" s="1"/>
  <c r="H372" i="4" s="1"/>
  <c r="G271" i="4"/>
  <c r="G556" i="4"/>
  <c r="G555" i="4" s="1"/>
  <c r="G208" i="4"/>
  <c r="G205" i="4" s="1"/>
  <c r="G568" i="4"/>
  <c r="G567" i="4" s="1"/>
  <c r="G564" i="4" s="1"/>
  <c r="H266" i="4"/>
  <c r="G108" i="4"/>
  <c r="G266" i="4"/>
  <c r="G265" i="4" s="1"/>
  <c r="G262" i="4" s="1"/>
  <c r="H13" i="4"/>
  <c r="G255" i="4"/>
  <c r="G254" i="4" s="1"/>
  <c r="G245" i="4" s="1"/>
  <c r="G355" i="4"/>
  <c r="G354" i="4" s="1"/>
  <c r="G297" i="4" s="1"/>
  <c r="G284" i="4"/>
  <c r="H29" i="4"/>
  <c r="G385" i="4"/>
  <c r="H568" i="4"/>
  <c r="G29" i="4"/>
  <c r="G28" i="4" s="1"/>
  <c r="F28" i="4"/>
  <c r="F535" i="4"/>
  <c r="G535" i="4"/>
  <c r="K25" i="1"/>
  <c r="M171" i="1"/>
  <c r="L75" i="1"/>
  <c r="F474" i="4"/>
  <c r="F324" i="4"/>
  <c r="F124" i="4"/>
  <c r="M174" i="1"/>
  <c r="M98" i="1"/>
  <c r="F12" i="4"/>
  <c r="F248" i="4"/>
  <c r="F388" i="4"/>
  <c r="F555" i="4"/>
  <c r="F467" i="4"/>
  <c r="J75" i="1"/>
  <c r="L97" i="1"/>
  <c r="L18" i="1" s="1"/>
  <c r="L25" i="1"/>
  <c r="L170" i="1"/>
  <c r="L19" i="1" s="1"/>
  <c r="M155" i="1"/>
  <c r="J170" i="1"/>
  <c r="J19" i="1" s="1"/>
  <c r="J39" i="1"/>
  <c r="J97" i="1"/>
  <c r="J18" i="1" s="1"/>
  <c r="M136" i="1"/>
  <c r="K94" i="1"/>
  <c r="K16" i="1" s="1"/>
  <c r="L94" i="1"/>
  <c r="L16" i="1" s="1"/>
  <c r="J28" i="1"/>
  <c r="M106" i="1"/>
  <c r="M151" i="1"/>
  <c r="L39" i="1"/>
  <c r="K155" i="1"/>
  <c r="L61" i="1"/>
  <c r="M38" i="1"/>
  <c r="I194" i="3"/>
  <c r="K75" i="1"/>
  <c r="F205" i="4"/>
  <c r="I216" i="4" l="1"/>
  <c r="I215" i="4" s="1"/>
  <c r="I214" i="4" s="1"/>
  <c r="I205" i="4" s="1"/>
  <c r="P188" i="1"/>
  <c r="P185" i="1" s="1"/>
  <c r="K482" i="4"/>
  <c r="K481" i="4" s="1"/>
  <c r="K480" i="4" s="1"/>
  <c r="I540" i="4"/>
  <c r="I536" i="4" s="1"/>
  <c r="P102" i="1"/>
  <c r="P101" i="1" s="1"/>
  <c r="P98" i="1" s="1"/>
  <c r="I431" i="4"/>
  <c r="P191" i="1"/>
  <c r="P190" i="1" s="1"/>
  <c r="P189" i="1" s="1"/>
  <c r="I374" i="4"/>
  <c r="I373" i="4" s="1"/>
  <c r="I372" i="4" s="1"/>
  <c r="P118" i="1"/>
  <c r="Q157" i="1"/>
  <c r="J133" i="4"/>
  <c r="L134" i="4"/>
  <c r="K133" i="4"/>
  <c r="K132" i="4" s="1"/>
  <c r="K131" i="4" s="1"/>
  <c r="K128" i="4" s="1"/>
  <c r="R157" i="1"/>
  <c r="P132" i="1"/>
  <c r="I556" i="4"/>
  <c r="I555" i="4" s="1"/>
  <c r="H380" i="4"/>
  <c r="H379" i="4" s="1"/>
  <c r="H388" i="4"/>
  <c r="N386" i="4" s="1"/>
  <c r="N389" i="4"/>
  <c r="H201" i="4"/>
  <c r="N199" i="4" s="1"/>
  <c r="N202" i="4"/>
  <c r="H139" i="4"/>
  <c r="N140" i="4"/>
  <c r="I255" i="3"/>
  <c r="H181" i="4"/>
  <c r="N179" i="4" s="1"/>
  <c r="N182" i="4"/>
  <c r="H274" i="4"/>
  <c r="N272" i="4" s="1"/>
  <c r="N275" i="4"/>
  <c r="H81" i="4"/>
  <c r="N79" i="4" s="1"/>
  <c r="N82" i="4"/>
  <c r="H348" i="4"/>
  <c r="N346" i="4" s="1"/>
  <c r="N349" i="4"/>
  <c r="F302" i="3"/>
  <c r="I302" i="3" s="1"/>
  <c r="I306" i="3"/>
  <c r="I488" i="3"/>
  <c r="J488" i="3"/>
  <c r="H220" i="4"/>
  <c r="N220" i="4" s="1"/>
  <c r="N221" i="4"/>
  <c r="H342" i="4"/>
  <c r="N340" i="4" s="1"/>
  <c r="N343" i="4"/>
  <c r="N494" i="4"/>
  <c r="N497" i="4"/>
  <c r="I12" i="3"/>
  <c r="H265" i="4"/>
  <c r="N266" i="4"/>
  <c r="F338" i="3"/>
  <c r="H175" i="4"/>
  <c r="N176" i="4"/>
  <c r="H111" i="4"/>
  <c r="N112" i="4"/>
  <c r="H336" i="4"/>
  <c r="N334" i="4" s="1"/>
  <c r="N337" i="4"/>
  <c r="H300" i="4"/>
  <c r="N301" i="4"/>
  <c r="N415" i="4"/>
  <c r="N418" i="4"/>
  <c r="H248" i="4"/>
  <c r="N246" i="4" s="1"/>
  <c r="N249" i="4"/>
  <c r="H499" i="3"/>
  <c r="H8" i="3" s="1"/>
  <c r="I155" i="3"/>
  <c r="F144" i="3"/>
  <c r="I418" i="3"/>
  <c r="F414" i="3"/>
  <c r="I414" i="3" s="1"/>
  <c r="H308" i="4"/>
  <c r="N306" i="4" s="1"/>
  <c r="N309" i="4"/>
  <c r="H567" i="4"/>
  <c r="N568" i="4"/>
  <c r="N352" i="4"/>
  <c r="N355" i="4"/>
  <c r="F27" i="3"/>
  <c r="I27" i="3" s="1"/>
  <c r="I31" i="3"/>
  <c r="I48" i="3"/>
  <c r="F44" i="3"/>
  <c r="H293" i="4"/>
  <c r="N291" i="4" s="1"/>
  <c r="N294" i="4"/>
  <c r="N319" i="4"/>
  <c r="I389" i="3"/>
  <c r="F371" i="3"/>
  <c r="I371" i="3" s="1"/>
  <c r="N209" i="4"/>
  <c r="H124" i="4"/>
  <c r="N125" i="4"/>
  <c r="F210" i="3"/>
  <c r="N485" i="4"/>
  <c r="N488" i="4"/>
  <c r="H474" i="4"/>
  <c r="N475" i="4"/>
  <c r="N458" i="4"/>
  <c r="N461" i="4"/>
  <c r="H448" i="4"/>
  <c r="N446" i="4" s="1"/>
  <c r="N449" i="4"/>
  <c r="O189" i="1"/>
  <c r="H410" i="4"/>
  <c r="N411" i="4"/>
  <c r="H394" i="4"/>
  <c r="N392" i="4" s="1"/>
  <c r="N395" i="4"/>
  <c r="H254" i="4"/>
  <c r="N255" i="4"/>
  <c r="H241" i="4"/>
  <c r="N242" i="4"/>
  <c r="H226" i="4"/>
  <c r="N224" i="4" s="1"/>
  <c r="N227" i="4"/>
  <c r="H195" i="4"/>
  <c r="N196" i="4"/>
  <c r="H442" i="4"/>
  <c r="N443" i="4"/>
  <c r="H434" i="4"/>
  <c r="N435" i="4"/>
  <c r="H400" i="4"/>
  <c r="N401" i="4"/>
  <c r="H330" i="4"/>
  <c r="N328" i="4" s="1"/>
  <c r="N331" i="4"/>
  <c r="H324" i="4"/>
  <c r="N322" i="4" s="1"/>
  <c r="N325" i="4"/>
  <c r="H287" i="4"/>
  <c r="N288" i="4"/>
  <c r="H280" i="4"/>
  <c r="N281" i="4"/>
  <c r="O155" i="1"/>
  <c r="H188" i="4"/>
  <c r="N189" i="4"/>
  <c r="H88" i="4"/>
  <c r="N89" i="4"/>
  <c r="H75" i="4"/>
  <c r="N73" i="4" s="1"/>
  <c r="N76" i="4"/>
  <c r="H69" i="4"/>
  <c r="N67" i="4" s="1"/>
  <c r="N70" i="4"/>
  <c r="H59" i="4"/>
  <c r="N57" i="4" s="1"/>
  <c r="N60" i="4"/>
  <c r="O129" i="1"/>
  <c r="O106" i="1" s="1"/>
  <c r="U132" i="1"/>
  <c r="H28" i="4"/>
  <c r="N26" i="4" s="1"/>
  <c r="N29" i="4"/>
  <c r="O101" i="1"/>
  <c r="U102" i="1"/>
  <c r="H12" i="4"/>
  <c r="N10" i="4" s="1"/>
  <c r="N13" i="4"/>
  <c r="O15" i="1"/>
  <c r="U38" i="1"/>
  <c r="H555" i="4"/>
  <c r="N553" i="4" s="1"/>
  <c r="N556" i="4"/>
  <c r="P15" i="1"/>
  <c r="P14" i="1" s="1"/>
  <c r="N174" i="1"/>
  <c r="N170" i="1" s="1"/>
  <c r="N19" i="1" s="1"/>
  <c r="P175" i="1"/>
  <c r="O174" i="1"/>
  <c r="I9" i="4"/>
  <c r="N106" i="1"/>
  <c r="N97" i="1" s="1"/>
  <c r="N18" i="1" s="1"/>
  <c r="M482" i="4"/>
  <c r="M481" i="4" s="1"/>
  <c r="M480" i="4" s="1"/>
  <c r="H97" i="4"/>
  <c r="H94" i="4" s="1"/>
  <c r="R120" i="1"/>
  <c r="K102" i="4"/>
  <c r="J101" i="4"/>
  <c r="K107" i="4"/>
  <c r="J106" i="4"/>
  <c r="J105" i="4" s="1"/>
  <c r="U191" i="1"/>
  <c r="K104" i="4"/>
  <c r="Q130" i="1"/>
  <c r="J103" i="4"/>
  <c r="I106" i="4"/>
  <c r="I105" i="4" s="1"/>
  <c r="P157" i="1"/>
  <c r="P156" i="1" s="1"/>
  <c r="P155" i="1" s="1"/>
  <c r="I101" i="4"/>
  <c r="I103" i="4"/>
  <c r="P130" i="1"/>
  <c r="P149" i="1"/>
  <c r="P148" i="1" s="1"/>
  <c r="P147" i="1" s="1"/>
  <c r="R14" i="1"/>
  <c r="J38" i="1"/>
  <c r="J15" i="1" s="1"/>
  <c r="J20" i="1" s="1"/>
  <c r="J30" i="1" s="1"/>
  <c r="H535" i="4"/>
  <c r="G532" i="4"/>
  <c r="G9" i="4"/>
  <c r="F9" i="4"/>
  <c r="F297" i="4"/>
  <c r="M170" i="1"/>
  <c r="F121" i="4"/>
  <c r="F431" i="4"/>
  <c r="F385" i="4"/>
  <c r="F245" i="4"/>
  <c r="F532" i="4"/>
  <c r="M97" i="1"/>
  <c r="M18" i="1" s="1"/>
  <c r="L58" i="1"/>
  <c r="K97" i="1"/>
  <c r="K18" i="1" s="1"/>
  <c r="F176" i="3"/>
  <c r="I178" i="3"/>
  <c r="M15" i="1"/>
  <c r="G8" i="3"/>
  <c r="K38" i="1"/>
  <c r="H297" i="4" l="1"/>
  <c r="N298" i="4"/>
  <c r="N408" i="4"/>
  <c r="H385" i="4"/>
  <c r="N385" i="4" s="1"/>
  <c r="N472" i="4"/>
  <c r="I535" i="4"/>
  <c r="I532" i="4" s="1"/>
  <c r="H532" i="4"/>
  <c r="N440" i="4"/>
  <c r="P129" i="1"/>
  <c r="P106" i="1" s="1"/>
  <c r="P97" i="1" s="1"/>
  <c r="P18" i="1" s="1"/>
  <c r="S157" i="1"/>
  <c r="V157" i="1" s="1"/>
  <c r="L133" i="4"/>
  <c r="M134" i="4"/>
  <c r="M133" i="4" s="1"/>
  <c r="M132" i="4" s="1"/>
  <c r="J98" i="4"/>
  <c r="J97" i="4" s="1"/>
  <c r="J132" i="4"/>
  <c r="N133" i="4"/>
  <c r="L102" i="4"/>
  <c r="R126" i="1"/>
  <c r="R118" i="1" s="1"/>
  <c r="I98" i="4"/>
  <c r="I97" i="4" s="1"/>
  <c r="I94" i="4" s="1"/>
  <c r="J499" i="3"/>
  <c r="H205" i="4"/>
  <c r="F42" i="3"/>
  <c r="I42" i="3" s="1"/>
  <c r="I44" i="3"/>
  <c r="N17" i="1"/>
  <c r="I210" i="3"/>
  <c r="F208" i="3"/>
  <c r="I208" i="3" s="1"/>
  <c r="I144" i="3"/>
  <c r="F133" i="3"/>
  <c r="I133" i="3" s="1"/>
  <c r="H108" i="4"/>
  <c r="N109" i="4"/>
  <c r="H262" i="4"/>
  <c r="N262" i="4" s="1"/>
  <c r="N263" i="4"/>
  <c r="R175" i="1"/>
  <c r="I338" i="3"/>
  <c r="F336" i="3"/>
  <c r="I336" i="3" s="1"/>
  <c r="F10" i="3"/>
  <c r="I10" i="3" s="1"/>
  <c r="R130" i="1"/>
  <c r="R129" i="1" s="1"/>
  <c r="U130" i="1"/>
  <c r="H121" i="4"/>
  <c r="N121" i="4" s="1"/>
  <c r="N124" i="4"/>
  <c r="H564" i="4"/>
  <c r="N565" i="4"/>
  <c r="H163" i="4"/>
  <c r="N173" i="4"/>
  <c r="F253" i="3"/>
  <c r="I253" i="3" s="1"/>
  <c r="H136" i="4"/>
  <c r="N136" i="4" s="1"/>
  <c r="N137" i="4"/>
  <c r="N252" i="4"/>
  <c r="H245" i="4"/>
  <c r="N245" i="4" s="1"/>
  <c r="H238" i="4"/>
  <c r="N238" i="4" s="1"/>
  <c r="N241" i="4"/>
  <c r="N193" i="4"/>
  <c r="H192" i="4"/>
  <c r="N192" i="4" s="1"/>
  <c r="U120" i="1"/>
  <c r="R156" i="1"/>
  <c r="R155" i="1" s="1"/>
  <c r="U157" i="1"/>
  <c r="U126" i="1"/>
  <c r="N432" i="4"/>
  <c r="N398" i="4"/>
  <c r="N285" i="4"/>
  <c r="H284" i="4"/>
  <c r="N284" i="4" s="1"/>
  <c r="N278" i="4"/>
  <c r="H271" i="4"/>
  <c r="N271" i="4" s="1"/>
  <c r="H185" i="4"/>
  <c r="N185" i="4" s="1"/>
  <c r="N186" i="4"/>
  <c r="H85" i="4"/>
  <c r="N85" i="4" s="1"/>
  <c r="N86" i="4"/>
  <c r="O170" i="1"/>
  <c r="H9" i="4"/>
  <c r="O98" i="1"/>
  <c r="U98" i="1" s="1"/>
  <c r="U101" i="1"/>
  <c r="O14" i="1"/>
  <c r="U14" i="1" s="1"/>
  <c r="U15" i="1"/>
  <c r="N533" i="4"/>
  <c r="N20" i="1"/>
  <c r="N30" i="1" s="1"/>
  <c r="L103" i="4"/>
  <c r="M104" i="4"/>
  <c r="M103" i="4" s="1"/>
  <c r="S130" i="1"/>
  <c r="V130" i="1" s="1"/>
  <c r="G583" i="4"/>
  <c r="G8" i="4" s="1"/>
  <c r="G7" i="4" s="1"/>
  <c r="L106" i="4"/>
  <c r="L105" i="4" s="1"/>
  <c r="M107" i="4"/>
  <c r="M106" i="4" s="1"/>
  <c r="M105" i="4" s="1"/>
  <c r="I297" i="4"/>
  <c r="Q148" i="1"/>
  <c r="R149" i="1"/>
  <c r="R148" i="1" s="1"/>
  <c r="R147" i="1" s="1"/>
  <c r="O206" i="4"/>
  <c r="K101" i="4"/>
  <c r="V120" i="1"/>
  <c r="Q129" i="1"/>
  <c r="Q106" i="1" s="1"/>
  <c r="K106" i="4"/>
  <c r="K105" i="4" s="1"/>
  <c r="Q156" i="1"/>
  <c r="P174" i="1"/>
  <c r="P170" i="1" s="1"/>
  <c r="P19" i="1" s="1"/>
  <c r="K103" i="4"/>
  <c r="K217" i="4"/>
  <c r="M19" i="1"/>
  <c r="F583" i="4"/>
  <c r="F8" i="4" s="1"/>
  <c r="F7" i="4" s="1"/>
  <c r="L54" i="1"/>
  <c r="J8" i="3"/>
  <c r="K15" i="1"/>
  <c r="M14" i="1"/>
  <c r="I176" i="3"/>
  <c r="S126" i="1" l="1"/>
  <c r="V126" i="1" s="1"/>
  <c r="O97" i="1"/>
  <c r="O18" i="1" s="1"/>
  <c r="J94" i="4"/>
  <c r="K216" i="4"/>
  <c r="K215" i="4" s="1"/>
  <c r="K214" i="4" s="1"/>
  <c r="K205" i="4" s="1"/>
  <c r="R188" i="1"/>
  <c r="R185" i="1" s="1"/>
  <c r="R174" i="1" s="1"/>
  <c r="I583" i="4"/>
  <c r="I8" i="4" s="1"/>
  <c r="I7" i="4" s="1"/>
  <c r="V191" i="1"/>
  <c r="R191" i="1"/>
  <c r="R190" i="1" s="1"/>
  <c r="R189" i="1" s="1"/>
  <c r="N108" i="4"/>
  <c r="N564" i="4"/>
  <c r="M102" i="4"/>
  <c r="M101" i="4" s="1"/>
  <c r="M98" i="4" s="1"/>
  <c r="M97" i="4" s="1"/>
  <c r="M94" i="4" s="1"/>
  <c r="K98" i="4"/>
  <c r="K97" i="4" s="1"/>
  <c r="L101" i="4"/>
  <c r="L98" i="4" s="1"/>
  <c r="L97" i="4" s="1"/>
  <c r="R106" i="1"/>
  <c r="R97" i="1" s="1"/>
  <c r="J131" i="4"/>
  <c r="N132" i="4"/>
  <c r="L132" i="4"/>
  <c r="O133" i="4"/>
  <c r="O316" i="4"/>
  <c r="N316" i="4"/>
  <c r="N532" i="4"/>
  <c r="N9" i="4"/>
  <c r="U178" i="1"/>
  <c r="Q175" i="1"/>
  <c r="U175" i="1" s="1"/>
  <c r="V178" i="1"/>
  <c r="N163" i="4"/>
  <c r="H162" i="4"/>
  <c r="F499" i="3"/>
  <c r="I499" i="3" s="1"/>
  <c r="U148" i="1"/>
  <c r="U156" i="1"/>
  <c r="U129" i="1"/>
  <c r="O19" i="1"/>
  <c r="T157" i="1"/>
  <c r="T156" i="1" s="1"/>
  <c r="T155" i="1" s="1"/>
  <c r="S156" i="1"/>
  <c r="S155" i="1" s="1"/>
  <c r="L205" i="4"/>
  <c r="M217" i="4"/>
  <c r="M216" i="4" s="1"/>
  <c r="M215" i="4" s="1"/>
  <c r="M214" i="4" s="1"/>
  <c r="M131" i="4"/>
  <c r="S129" i="1"/>
  <c r="T130" i="1"/>
  <c r="T129" i="1" s="1"/>
  <c r="M431" i="4"/>
  <c r="T178" i="1"/>
  <c r="T175" i="1" s="1"/>
  <c r="S175" i="1"/>
  <c r="Q147" i="1"/>
  <c r="T149" i="1"/>
  <c r="T148" i="1" s="1"/>
  <c r="T147" i="1" s="1"/>
  <c r="S148" i="1"/>
  <c r="S147" i="1" s="1"/>
  <c r="P20" i="1"/>
  <c r="P30" i="1" s="1"/>
  <c r="Q185" i="1"/>
  <c r="Q190" i="1"/>
  <c r="P17" i="1"/>
  <c r="Q155" i="1"/>
  <c r="M20" i="1"/>
  <c r="M30" i="1" s="1"/>
  <c r="M17" i="1"/>
  <c r="K431" i="4"/>
  <c r="J205" i="4"/>
  <c r="L38" i="1"/>
  <c r="F8" i="3"/>
  <c r="I8" i="3" s="1"/>
  <c r="K20" i="1"/>
  <c r="S118" i="1" l="1"/>
  <c r="S106" i="1" s="1"/>
  <c r="S97" i="1" s="1"/>
  <c r="S18" i="1" s="1"/>
  <c r="T18" i="1" s="1"/>
  <c r="T126" i="1"/>
  <c r="N205" i="4"/>
  <c r="K94" i="4"/>
  <c r="L94" i="4"/>
  <c r="L131" i="4"/>
  <c r="O132" i="4"/>
  <c r="J128" i="4"/>
  <c r="J583" i="4" s="1"/>
  <c r="N129" i="4"/>
  <c r="V129" i="1"/>
  <c r="V175" i="1"/>
  <c r="O205" i="4"/>
  <c r="H150" i="4"/>
  <c r="N160" i="4"/>
  <c r="Q189" i="1"/>
  <c r="U189" i="1" s="1"/>
  <c r="U190" i="1"/>
  <c r="V148" i="1"/>
  <c r="V147" i="1"/>
  <c r="U147" i="1"/>
  <c r="V156" i="1"/>
  <c r="V155" i="1"/>
  <c r="U155" i="1"/>
  <c r="U185" i="1"/>
  <c r="U118" i="1"/>
  <c r="O17" i="1"/>
  <c r="O20" i="1"/>
  <c r="M297" i="4"/>
  <c r="M128" i="4"/>
  <c r="Q174" i="1"/>
  <c r="T120" i="1"/>
  <c r="S190" i="1"/>
  <c r="T191" i="1"/>
  <c r="T190" i="1" s="1"/>
  <c r="T189" i="1" s="1"/>
  <c r="M208" i="4"/>
  <c r="T188" i="1"/>
  <c r="T185" i="1" s="1"/>
  <c r="T174" i="1" s="1"/>
  <c r="S185" i="1"/>
  <c r="S174" i="1" s="1"/>
  <c r="R170" i="1"/>
  <c r="K297" i="4"/>
  <c r="L15" i="1"/>
  <c r="K30" i="1"/>
  <c r="T118" i="1" l="1"/>
  <c r="T106" i="1" s="1"/>
  <c r="T97" i="1" s="1"/>
  <c r="K583" i="4"/>
  <c r="K8" i="4" s="1"/>
  <c r="K7" i="4" s="1"/>
  <c r="N128" i="4"/>
  <c r="L128" i="4"/>
  <c r="L583" i="4" s="1"/>
  <c r="O129" i="4"/>
  <c r="V185" i="1"/>
  <c r="N150" i="4"/>
  <c r="S189" i="1"/>
  <c r="V189" i="1" s="1"/>
  <c r="V190" i="1"/>
  <c r="Q170" i="1"/>
  <c r="Q19" i="1" s="1"/>
  <c r="V174" i="1"/>
  <c r="U174" i="1"/>
  <c r="V118" i="1"/>
  <c r="V106" i="1"/>
  <c r="U106" i="1"/>
  <c r="O30" i="1"/>
  <c r="T170" i="1"/>
  <c r="M205" i="4"/>
  <c r="Q97" i="1"/>
  <c r="L20" i="1"/>
  <c r="O128" i="4" l="1"/>
  <c r="L8" i="4"/>
  <c r="L7" i="4" s="1"/>
  <c r="S170" i="1"/>
  <c r="S19" i="1" s="1"/>
  <c r="T19" i="1" s="1"/>
  <c r="T17" i="1" s="1"/>
  <c r="O431" i="4"/>
  <c r="O297" i="4"/>
  <c r="R19" i="1"/>
  <c r="U19" i="1"/>
  <c r="U170" i="1"/>
  <c r="V97" i="1"/>
  <c r="U97" i="1"/>
  <c r="M583" i="4"/>
  <c r="M8" i="4" s="1"/>
  <c r="M7" i="4" s="1"/>
  <c r="Q18" i="1"/>
  <c r="L30" i="1"/>
  <c r="S17" i="1" l="1"/>
  <c r="S20" i="1"/>
  <c r="S30" i="1" s="1"/>
  <c r="V170" i="1"/>
  <c r="V19" i="1"/>
  <c r="R18" i="1"/>
  <c r="R20" i="1" s="1"/>
  <c r="R30" i="1" s="1"/>
  <c r="V18" i="1"/>
  <c r="U18" i="1"/>
  <c r="T20" i="1"/>
  <c r="T30" i="1" s="1"/>
  <c r="O583" i="4"/>
  <c r="J8" i="4"/>
  <c r="O8" i="4" s="1"/>
  <c r="Q20" i="1"/>
  <c r="Q17" i="1"/>
  <c r="V17" i="1" l="1"/>
  <c r="U17" i="1"/>
  <c r="R17" i="1"/>
  <c r="V20" i="1"/>
  <c r="U20" i="1"/>
  <c r="Q30" i="1"/>
  <c r="J7" i="4"/>
  <c r="O7" i="4" s="1"/>
  <c r="N297" i="4"/>
  <c r="H468" i="4"/>
  <c r="N469" i="4"/>
  <c r="N468" i="4" l="1"/>
  <c r="H467" i="4"/>
  <c r="H431" i="4" s="1"/>
  <c r="H583" i="4" s="1"/>
  <c r="N465" i="4" l="1"/>
  <c r="N431" i="4" l="1"/>
  <c r="N583" i="4" l="1"/>
  <c r="H8" i="4"/>
  <c r="H7" i="4" l="1"/>
  <c r="N7" i="4" s="1"/>
  <c r="N8" i="4"/>
</calcChain>
</file>

<file path=xl/sharedStrings.xml><?xml version="1.0" encoding="utf-8"?>
<sst xmlns="http://schemas.openxmlformats.org/spreadsheetml/2006/main" count="1916" uniqueCount="693">
  <si>
    <t>A. RAČUN PRIHODA I RASHODA</t>
  </si>
  <si>
    <t>Prihodi poslovanja</t>
  </si>
  <si>
    <t>Prihodi od prodaje nefinancijske imovine</t>
  </si>
  <si>
    <t>Rashodi poslovanja</t>
  </si>
  <si>
    <t>Rashodi za nabavu nefinancijske imovine</t>
  </si>
  <si>
    <t>B. RAČUN ZADUŽIVANJA/FINANCIRANJA</t>
  </si>
  <si>
    <t>Primici od financijske imovine i zaduživanja</t>
  </si>
  <si>
    <t>NETO ZADUŽIVANJE/FINANCIRANJE</t>
  </si>
  <si>
    <t>Vlastiti izvori</t>
  </si>
  <si>
    <t>VIŠAK/MANJAK + NETO ZADUŽIVANJA/FINANCIRANJA + RASPOLOŽIVA SREDSTVA IZ PRETHODNIH GODINA</t>
  </si>
  <si>
    <t>BROJ KONTA</t>
  </si>
  <si>
    <t>VRSTA PRIHODA/IZDATAKA</t>
  </si>
  <si>
    <t>Prihodi od poreza</t>
  </si>
  <si>
    <t>Porez i prirez na dohodak</t>
  </si>
  <si>
    <t>Porez i prirez na dohodak od nesamostalnog rada</t>
  </si>
  <si>
    <t>Porez i prirez na dohodak od samostalnih djelatnosti</t>
  </si>
  <si>
    <t>Porez i prirez na dohodak po godišnjoj prijavi</t>
  </si>
  <si>
    <t>Porezi na imovinu</t>
  </si>
  <si>
    <t>Stalni porezi na nepokretnu imovinu</t>
  </si>
  <si>
    <t>Povremeni porezi na imovinu</t>
  </si>
  <si>
    <t>Porezi na robu i usluge</t>
  </si>
  <si>
    <t>Porez na promet</t>
  </si>
  <si>
    <t>Porezi na korištenje dobara ili izvođenje aktivnosti</t>
  </si>
  <si>
    <t>Pomoći</t>
  </si>
  <si>
    <t>Pomoći iz proračuna</t>
  </si>
  <si>
    <t>Prihodi od imovine</t>
  </si>
  <si>
    <t>Prihodi od financijske imovine</t>
  </si>
  <si>
    <t>Prihod od zateznih kamata</t>
  </si>
  <si>
    <t>Prihodi od nefinancijske imovine</t>
  </si>
  <si>
    <t>Naknade za koncesije</t>
  </si>
  <si>
    <t>Ostali prihodi od nefinancijske imovine</t>
  </si>
  <si>
    <t>Prihodi od prodaje državnih biljega</t>
  </si>
  <si>
    <t>Prihodi po posebnim propisima</t>
  </si>
  <si>
    <t>Komunalni doprinosi</t>
  </si>
  <si>
    <t>Komunalne naknade</t>
  </si>
  <si>
    <t>Doprinosi za šume</t>
  </si>
  <si>
    <t xml:space="preserve">Ostali nespomenuti prihodi </t>
  </si>
  <si>
    <t>Tekuće donacije</t>
  </si>
  <si>
    <t>Kapitalne donacije</t>
  </si>
  <si>
    <t>Prihodi od prodaje neproizvedene imovine</t>
  </si>
  <si>
    <t>Zemljište</t>
  </si>
  <si>
    <t>Rashodi za zaposlene</t>
  </si>
  <si>
    <t>Plaće</t>
  </si>
  <si>
    <t>Ostali rashodi za zaposlene</t>
  </si>
  <si>
    <t>Doprinosi na plaće</t>
  </si>
  <si>
    <t>Doprinosi za zdravstveno osiguranje</t>
  </si>
  <si>
    <t>Doprinosi za zapošljavanje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</si>
  <si>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</si>
  <si>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</si>
  <si>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</si>
  <si>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</si>
  <si>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</si>
  <si>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</si>
  <si>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i ostali materijalni rashodi</t>
  </si>
  <si>
    <t>Energija</t>
  </si>
  <si>
    <t>Sitan inventar i auto gume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</si>
  <si>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</si>
  <si>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</si>
  <si>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</si>
  <si>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</si>
  <si>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</si>
  <si>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</si>
  <si>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</si>
  <si>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</si>
  <si>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</si>
  <si>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</si>
  <si>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predst.i izvršnih tijela, povjerenstava i sl</t>
  </si>
  <si>
    <t>Premije osiguranja</t>
  </si>
  <si>
    <t>Reprezentacija</t>
  </si>
  <si>
    <t>Članarine</t>
  </si>
  <si>
    <t>Financijski rashodi</t>
  </si>
  <si>
    <t>Ostali financijski rashodi</t>
  </si>
  <si>
    <t>Bankarske usluge i usluge platnog prometa</t>
  </si>
  <si>
    <t>Zatezne kamate</t>
  </si>
  <si>
    <t>Ostali nespomenuti financijski rashodi</t>
  </si>
  <si>
    <t>Subvencije</t>
  </si>
  <si>
    <t>Subvencije poljoprivrednicima, obrtnicima, malim i srednjim poduzetnicima</t>
  </si>
  <si>
    <t>Naknade građanima i kućanstvima iz proračuna</t>
  </si>
  <si>
    <t>Naknade građanima i kućanstvima u novcu</t>
  </si>
  <si>
    <t>Naknade građanima i kućanstvima u naravi</t>
  </si>
  <si>
    <t>Donacije i ostali rashodi</t>
  </si>
  <si>
    <t>Tekuće donacije u novcu</t>
  </si>
  <si>
    <t>Tekuće donacije vjerskim zajednicama</t>
  </si>
  <si>
    <t>Tekuće donacije političkim strankama</t>
  </si>
  <si>
    <t>Tekuće donacije sportskim društvima</t>
  </si>
  <si>
    <t>Ostale tekuće donacije</t>
  </si>
  <si>
    <t>Tekuće donacije u naravi</t>
  </si>
  <si>
    <t>Kapitalne donacije neprofitnim organizacijama</t>
  </si>
  <si>
    <t>Kapitalne donacije građanima i kućanstvima</t>
  </si>
  <si>
    <t>Kazne, penali i naknade štete</t>
  </si>
  <si>
    <t>Naknade štete pravnim i fizičkim osobama</t>
  </si>
  <si>
    <t>Rashodi iz proteklih godina</t>
  </si>
  <si>
    <t>Materijalni rashodi iz proteklih godina</t>
  </si>
  <si>
    <t>Ostali rashodi iz proteklih godina</t>
  </si>
  <si>
    <t>Izvanredni rashodi</t>
  </si>
  <si>
    <t>Materijalna imovina- prirodna bogatstva</t>
  </si>
  <si>
    <t>Rashodi za nabavu proizvedene dugotrajne imovine</t>
  </si>
  <si>
    <t>Građevinski objekti</t>
  </si>
  <si>
    <t>Poslovni objekti</t>
  </si>
  <si>
    <t>Postrojenja i oprema</t>
  </si>
  <si>
    <t>Uredska oprema i namještaj</t>
  </si>
  <si>
    <t>Komunikacijska oprema</t>
  </si>
  <si>
    <t>Uređaji, strojevi i oprema za ostale namjene</t>
  </si>
  <si>
    <t>Dodatna ulaganja na građevinskim objektima</t>
  </si>
  <si>
    <t>Primici od zaduživanja</t>
  </si>
  <si>
    <t>Izdaci za otplatu glavnice primljenih zajmova</t>
  </si>
  <si>
    <t>C. RASPOLOŽIVA SREDSTVA IZ PRETHODNIH GODINA</t>
  </si>
  <si>
    <t>Rezultata poslovanja</t>
  </si>
  <si>
    <t>Višak/manjak prihoda</t>
  </si>
  <si>
    <t>Pozicija</t>
  </si>
  <si>
    <t>UKUPNI RASHODI</t>
  </si>
  <si>
    <t>Porez i prirez na dohodak od kapitala</t>
  </si>
  <si>
    <t>Oprema za održavanje i zaštitu</t>
  </si>
  <si>
    <t>Ulaganje u računalne programe</t>
  </si>
  <si>
    <t>Članak 3.</t>
  </si>
  <si>
    <t>Primljeni zajmovi od banaka i ostalih fin. inst. izvan javnog sektora</t>
  </si>
  <si>
    <t>Primljeni zajmovi od tuzemnih banaka i ostalih fin. institucija izvan javnog sektora</t>
  </si>
  <si>
    <t>Nematerijalna proizvedena imovina</t>
  </si>
  <si>
    <t>Otplata glavnice primljenih zajmova od trg.društava u javnom sektoru</t>
  </si>
  <si>
    <t>Ostali građevinski objekti</t>
  </si>
  <si>
    <t>Porez i prirez u nadzoru prethodnih godina</t>
  </si>
  <si>
    <t>Kapitalne donacije sportskim društvima</t>
  </si>
  <si>
    <t>Primljene otplate glavnice danih zajmova</t>
  </si>
  <si>
    <t>Povrat zajmova danih tuz.bankama izvan jav.sekt.</t>
  </si>
  <si>
    <t>Izdaci za dane zajmove</t>
  </si>
  <si>
    <t>Izdaci za dane zajmove bankama izv.jav.sekt.</t>
  </si>
  <si>
    <t>Dani zajmovi tuzemnim bankama</t>
  </si>
  <si>
    <t xml:space="preserve">Kapitalne pomoći </t>
  </si>
  <si>
    <t>Ostali rashodi</t>
  </si>
  <si>
    <t>Prihodi od zakupa poslovnih objekata</t>
  </si>
  <si>
    <t>Komunalni doprinosi i naknade</t>
  </si>
  <si>
    <t>Pristojbe i naknade</t>
  </si>
  <si>
    <t>Administrativne i upravne pristojbe</t>
  </si>
  <si>
    <t>Naknade za priključak</t>
  </si>
  <si>
    <t>Plaće za zaposlene</t>
  </si>
  <si>
    <t>Službena radna i zaštitna odjeća i obuća</t>
  </si>
  <si>
    <t>Pomoći dane u inozemstvo i unutar općeg proračuna</t>
  </si>
  <si>
    <t>Kapitalne pomoći unutar općeg proračuna</t>
  </si>
  <si>
    <t>Tekuće pomoći unutar općeg proračuna</t>
  </si>
  <si>
    <t>Pomoći unutar općeg proračuna</t>
  </si>
  <si>
    <t>Naknade građanima i kućanstvima na temelju osiguranja i dr.naknade</t>
  </si>
  <si>
    <t>Ceste, željeznice i ostali prometni objekti</t>
  </si>
  <si>
    <t>Naknade troškova osobama izvan radnog odnosa</t>
  </si>
  <si>
    <t>Prihodi vodnog gospodarstva</t>
  </si>
  <si>
    <t>Ostale naknade troškova zaposlenima</t>
  </si>
  <si>
    <t>Naknade trošk. osobama izvan radnog odnosa</t>
  </si>
  <si>
    <t>Zatezne kamate iz posl.odnosa</t>
  </si>
  <si>
    <t>Kamate za primljene kredite i zajmove</t>
  </si>
  <si>
    <t>Kamate za primljene kredite i zajmove od banaka i ostalih fin. Institucija izvan javnog sektora</t>
  </si>
  <si>
    <t>Bankarske usluge i usl.platnog prometa</t>
  </si>
  <si>
    <t>Izdaci za fin. imovinu i otplate zajmova</t>
  </si>
  <si>
    <t>Kamate na oroč. sredstva i dopunska po viđenju</t>
  </si>
  <si>
    <t>Prihodi od zakupa polj. zemljišta u vlasništvu RH</t>
  </si>
  <si>
    <t>Prihodi od upravnih i administr. pristojbi, pristojbi po poseb. propisima i naknada</t>
  </si>
  <si>
    <t>Žup., grad. i općinske pristojbe i naknade</t>
  </si>
  <si>
    <t>Nak. za prijevoz za rad na terenu i odvojeni život</t>
  </si>
  <si>
    <t>Materijal i dijelovi za tekuće i invest. održavanje</t>
  </si>
  <si>
    <t>Subvencije trg. druš., obrtnicima, malim i srednjim poduz. izvan jav. sektora</t>
  </si>
  <si>
    <t>Naknade građ. i kuć. iz proračuna</t>
  </si>
  <si>
    <t>Nepredviđeni rashodi do visine pror. pričuve</t>
  </si>
  <si>
    <t>Rashodi za nabavu neproiz. dugotr. imovine</t>
  </si>
  <si>
    <t>Rashodi za nabavu proiz. dugotrajne imov.</t>
  </si>
  <si>
    <t>Dodatna ulaganja na građ. objektima</t>
  </si>
  <si>
    <t>Primici glavnice zajmova danih bankama - dugoročni</t>
  </si>
  <si>
    <t>Izdaci za finan. imovinu i otplate zajmova</t>
  </si>
  <si>
    <t>Uredska oprema i namještaj, računala</t>
  </si>
  <si>
    <t>RAZLIKA (VIŠAK/MANJAK)</t>
  </si>
  <si>
    <t>Ostvareno 2013.</t>
  </si>
  <si>
    <t>Plan     2014.</t>
  </si>
  <si>
    <t>Procjena 2014.</t>
  </si>
  <si>
    <t>Plan     2015.</t>
  </si>
  <si>
    <t>II. POSEBNI DIO</t>
  </si>
  <si>
    <t>Šifra programska</t>
  </si>
  <si>
    <t>VRSTA RASHODA/IZDATAKA</t>
  </si>
  <si>
    <t>PLAN 2015.</t>
  </si>
  <si>
    <t>PRIJEDLOG PLANA ZA 2016.</t>
  </si>
  <si>
    <t>PROJEKCIJA PLANA ZA 2017.</t>
  </si>
  <si>
    <t>PROJEKCIJA PLANA ZA 2018.</t>
  </si>
  <si>
    <t>FUNKCIJSKA KLASIFIKACIJA: 01 OPĆE JAVNE USLUGE</t>
  </si>
  <si>
    <t>Izvor prihoda: 01 Opći prihodi, 02 Vlastiti prihodi</t>
  </si>
  <si>
    <t xml:space="preserve">Materijalni rashodi </t>
  </si>
  <si>
    <t>FUNKCIJSKA KLASIFIKACIJA:01 OPĆE JAVNE USLUGE</t>
  </si>
  <si>
    <t>Izvor prihoda: 01 Opći prihodi,  04 Pomoći</t>
  </si>
  <si>
    <t>Plaće (bruto)</t>
  </si>
  <si>
    <t>Plaće za redovan rad</t>
  </si>
  <si>
    <t>Doprinosi za obvezno zdravstveno osiguranje</t>
  </si>
  <si>
    <t>Doprinosi za obvezno osiguranje u slučaju nezaposlenosti</t>
  </si>
  <si>
    <t xml:space="preserve">Ostale naknade troškova zaposlenima (korištenje priv.aut.) </t>
  </si>
  <si>
    <t>Izvor prihoda: 01 Opći prihodi, 02 Vlastiti prihodi, 03 Prih. za pos.namjene</t>
  </si>
  <si>
    <t>Materijal i dijelovi za tekuće i investicijsko održavanje</t>
  </si>
  <si>
    <t>Sitan inventar</t>
  </si>
  <si>
    <t>Usluge tekućeg i investicijskog održavanja gr.objekata</t>
  </si>
  <si>
    <t>Zdravstvene i veterinarske usluge (obvezni i preventivni pregled zaposlenika)</t>
  </si>
  <si>
    <t>Pristojbe i naknade (jav.bilj.,sudske pristojbe)</t>
  </si>
  <si>
    <t>Troškovi sudskih postupaka</t>
  </si>
  <si>
    <t>Izvor prihoda: 03 Prihodi za posebne namjene</t>
  </si>
  <si>
    <t>Ulaganja u računalne programe</t>
  </si>
  <si>
    <t>Izvor prihoda: 01 Opći prihodi</t>
  </si>
  <si>
    <t xml:space="preserve">Ostali rashodi </t>
  </si>
  <si>
    <t>Kazne,penali i naknade štete</t>
  </si>
  <si>
    <t>Naknade šteta pravnim i fizičkim osobama</t>
  </si>
  <si>
    <t>GLAVA 0-03: ODGOJ I OBRAZOVANJE</t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</si>
  <si>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PREDŠKOLSKI ODGOJ</t>
    </r>
  </si>
  <si>
    <t>FUNKCIJSKA KLASIFIKACIJA: 09 OBRAZOVANJE</t>
  </si>
  <si>
    <t xml:space="preserve">Izvor prihoda: 01 Opći prihodi, 04 Pomoći 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</si>
  <si>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OSNOVNO ŠKOLSTVO</t>
    </r>
  </si>
  <si>
    <t>Ostale tekuće donacije u naravi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</si>
  <si>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TEKUĆI PROGRAMI SOCIJALNE SKRBI</t>
    </r>
  </si>
  <si>
    <t>FUNKCIJSKA KLASIFIKACIJA: 10 SOCIJALNA ZAŠTITA</t>
  </si>
  <si>
    <t>Izvor prihoda: 01 Opći prihodi, 03 Prihodi za posebne namjene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</si>
  <si>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DODATNE USLUGE U ZDRAVSTVU I PREVENTIVA</t>
    </r>
  </si>
  <si>
    <t>FUNKCIJSKA KLASIFIKACIJA: 07 ZDRAVSTVO</t>
  </si>
  <si>
    <r>
      <rPr>
        <b/>
        <sz val="13"/>
        <rFont val="Arial"/>
        <family val="2"/>
      </rPr>
      <t>GLAVA 0-05:</t>
    </r>
    <r>
      <rPr>
        <sz val="13"/>
        <rFont val="Arial"/>
        <family val="2"/>
      </rPr>
      <t xml:space="preserve"> VATROGASTVO, CIVILNA ZAŠTITA I PROTUGRADNA OBRANA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</si>
  <si>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OD POŽARA I CIVILNA ZAŠTITA</t>
    </r>
  </si>
  <si>
    <t>FUNKCIJSKA KLASIFIKACIJA: 03 JAVNI RED I SIGURNOST</t>
  </si>
  <si>
    <t>Izvor prihoda: 02 Vlastiti prihodi,03 Prihodi za posebne namjene</t>
  </si>
  <si>
    <t>Usluge čuvanja imovine i osoba (JVP, DVD)</t>
  </si>
  <si>
    <t>Izvor prihoda: 02 Vlastiti prihodi</t>
  </si>
  <si>
    <t>Pomoći dane u inozemstvo i unutar opće države</t>
  </si>
  <si>
    <t>Službena, radna i zaštitna odjeća</t>
  </si>
  <si>
    <t>Izvor prihoda: 01 Opći prihodi, 02 Vlastiti prihodi,03 Prih.za pos.namjene</t>
  </si>
  <si>
    <t>Intelektualne i osobne usluge (Revizija Plana zaštite)</t>
  </si>
  <si>
    <r>
      <rPr>
        <b/>
        <sz val="12"/>
        <rFont val="Arial"/>
        <family val="2"/>
      </rPr>
      <t>PROGRAM 0002</t>
    </r>
    <r>
      <rPr>
        <sz val="12"/>
        <rFont val="Arial"/>
        <family val="2"/>
      </rPr>
      <t>: KAPITALNE POMOĆI UNUTAR OPĆEG PRORAČUNA</t>
    </r>
  </si>
  <si>
    <t>FUNKCIJSKA KLASIFIKACIJA: 04 EKONOMSKI POSLOVI</t>
  </si>
  <si>
    <t>Kapitalne pomoći proračunima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</si>
  <si>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SPORT</t>
    </r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</si>
  <si>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KULTURA</t>
    </r>
  </si>
  <si>
    <t>FUNKCIJSKA KLASIF. 08 REKREACIJA, KULTURA I RELIGIJA</t>
  </si>
  <si>
    <t>Tekuće donacije udrugama</t>
  </si>
  <si>
    <t>Kapitalne donacije ostalim neprofitnim organizacijama</t>
  </si>
  <si>
    <t>Izvor prihoda: 01 Opći prihodi. 02 Vlastiti prihodi</t>
  </si>
  <si>
    <t>Rashodi protokola</t>
  </si>
  <si>
    <t>Donacije</t>
  </si>
  <si>
    <r>
      <rPr>
        <b/>
        <sz val="12"/>
        <rFont val="Arial"/>
        <family val="2"/>
      </rPr>
      <t xml:space="preserve">PROGRAM 0003: </t>
    </r>
    <r>
      <rPr>
        <sz val="12"/>
        <rFont val="Arial"/>
        <family val="2"/>
      </rPr>
      <t>RELIGIJA</t>
    </r>
  </si>
  <si>
    <t>FUNKCIJSKA KLASIF: 08 REKREACIJA, KULTURA I RELIGIJA</t>
  </si>
  <si>
    <t>Kapitalne donacije vjerskim zajednicama</t>
  </si>
  <si>
    <r>
      <rPr>
        <b/>
        <sz val="12"/>
        <rFont val="Arial"/>
        <family val="2"/>
      </rPr>
      <t>PROGRAM 0004:</t>
    </r>
    <r>
      <rPr>
        <sz val="12"/>
        <rFont val="Arial"/>
        <family val="2"/>
      </rPr>
      <t xml:space="preserve"> RAD UDURGA GRAĐANA</t>
    </r>
  </si>
  <si>
    <t>Kapitalne donacije udrugama</t>
  </si>
  <si>
    <r>
      <rPr>
        <b/>
        <sz val="13"/>
        <rFont val="Arial"/>
        <family val="2"/>
      </rPr>
      <t>GLAVA 0-07</t>
    </r>
    <r>
      <rPr>
        <sz val="13"/>
        <rFont val="Arial"/>
        <family val="2"/>
      </rPr>
      <t>: ZAŠTITA OKOLIŠA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</si>
  <si>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ZAŠTITA OKOLIŠA</t>
    </r>
  </si>
  <si>
    <t>FUNKCIJSKA KLASIFIKACIJA: 05 ZAŠTITA OKOLIŠA</t>
  </si>
  <si>
    <r>
      <rPr>
        <b/>
        <sz val="12"/>
        <rFont val="Arial"/>
        <family val="2"/>
      </rPr>
      <t>PROGRAM 0001</t>
    </r>
    <r>
      <rPr>
        <sz val="12"/>
        <rFont val="Arial"/>
        <family val="2"/>
      </rPr>
      <t>: ODRŽAVANJE KOMUNALNE INFRASTRUKTURE</t>
    </r>
  </si>
  <si>
    <t>Ostale usluge tekućeg održavanja</t>
  </si>
  <si>
    <t>Izvor prihoda: 03 Prihodi za posebne namjene,04 Pomoći,</t>
  </si>
  <si>
    <t>Izvor prihoda: 03 Prihodi za posebne namjene,04 Pomoći</t>
  </si>
  <si>
    <r>
      <rPr>
        <b/>
        <sz val="12"/>
        <rFont val="Arial"/>
        <family val="2"/>
      </rPr>
      <t>PROGRAM 0002:</t>
    </r>
    <r>
      <rPr>
        <sz val="12"/>
        <rFont val="Arial"/>
        <family val="2"/>
      </rPr>
      <t xml:space="preserve"> IZGRADNJA OBJEKATA I UREĐENJE KOMUNALNE INFRASTRUKTURE</t>
    </r>
  </si>
  <si>
    <t>FUNKCIJKA KLASIFIKACIJA: 06 USLUGE UNAPREĐENJA STANOVANJA I ZAJEDNICE</t>
  </si>
  <si>
    <t>Izvor prihoda: 06 Prihodi od prodaje nefinancijske imovine</t>
  </si>
  <si>
    <t>Rashodi za nabavu neproizvedene dug.imovine</t>
  </si>
  <si>
    <t>FUNKCIJKA KLASIFIKACIJA: 05 ZAŠTITA OKOLIŠA</t>
  </si>
  <si>
    <t>Rashodi za nabavu proizvedene dug.imovine</t>
  </si>
  <si>
    <t>Ostali nespomenuti građevinski objekti</t>
  </si>
  <si>
    <t>Izvor prihoda:03 Prihodi za posebne namjene, 04 Pomoći</t>
  </si>
  <si>
    <t>Izvor prihoda: 03 Prihodi za posebne namjene 04 Pomoći, 06 Prihodi od prodaje nef.imovine</t>
  </si>
  <si>
    <t>Izvor prihoda: 06 Prihodi od prodaje nef.imovine</t>
  </si>
  <si>
    <t>FUNKCIJKA KLASIFIKACIJA: 06 USL. UNAPREĐENJA ST. I ZAJEDNICE</t>
  </si>
  <si>
    <t>Izvor prihoda:  03 Prihodi za posebne namjene</t>
  </si>
  <si>
    <t>FUN.KLASIF. 06: USL. UNAPREĐENJA STANOVANJA I ZAJED.</t>
  </si>
  <si>
    <r>
      <rPr>
        <b/>
        <sz val="13"/>
        <rFont val="Arial"/>
        <family val="2"/>
      </rPr>
      <t>GLAVA 0-09:</t>
    </r>
    <r>
      <rPr>
        <sz val="13"/>
        <rFont val="Arial"/>
        <family val="2"/>
      </rPr>
      <t xml:space="preserve"> PROSTORNO PLANIRANJE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</si>
  <si>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PROSTORNO PLANIRANJE I STANJE U PROSTORU</t>
    </r>
  </si>
  <si>
    <t>Dokumenti prostornog uređenja</t>
  </si>
  <si>
    <t>FUNKCIJKA KLASIF.: 06 USL. UNAPREĐENJA STAN. I ZAJEDNICE</t>
  </si>
  <si>
    <t>Kapitalne pomoći</t>
  </si>
  <si>
    <t>Kapitalne pomoći trg.društvima izvan javnog sektora</t>
  </si>
  <si>
    <t>Umjetnička, literarna i znansvena djela</t>
  </si>
  <si>
    <t>Rashodi za dodatna ulaganja na nefinan. imovini</t>
  </si>
  <si>
    <t>Kamate na primljene kredite i zajmove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</si>
  <si>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REDOVNA DJELATNOST PREDSTAVNIČKOG TIJELA</t>
    </r>
  </si>
  <si>
    <r>
      <rPr>
        <b/>
        <sz val="12"/>
        <rFont val="Arial"/>
        <family val="2"/>
        <charset val="238"/>
      </rPr>
      <t>PROGRAM 0002:</t>
    </r>
    <r>
      <rPr>
        <sz val="12"/>
        <rFont val="Arial"/>
        <family val="2"/>
        <charset val="238"/>
      </rPr>
      <t xml:space="preserve"> REDOVNA DJELATNOST IZVRŠNOG TIJELA</t>
    </r>
  </si>
  <si>
    <t>GLAVA 0-01: PREDSTAVNIČKA I IZVRŠANA TIJELA</t>
  </si>
  <si>
    <t>GLAVA 0-02: TEKUĆI PROGRAMI JEDINSTVENOG UPRAVNOG ODJELA</t>
  </si>
  <si>
    <r>
      <rPr>
        <b/>
        <sz val="12"/>
        <rFont val="Arial"/>
        <family val="2"/>
        <charset val="238"/>
      </rPr>
      <t>PROGRAM 0001:</t>
    </r>
    <r>
      <rPr>
        <sz val="12"/>
        <rFont val="Arial"/>
        <family val="2"/>
        <charset val="238"/>
      </rPr>
      <t xml:space="preserve"> JAVNA UPRAVA I ADMINISTRACIJA</t>
    </r>
  </si>
  <si>
    <t>AKTIVNOST: 01 - RASHODI ZA ZAPOSLENE</t>
  </si>
  <si>
    <r>
      <rPr>
        <b/>
        <sz val="13"/>
        <rFont val="Arial"/>
        <family val="2"/>
      </rPr>
      <t>GLAVA 0-04</t>
    </r>
    <r>
      <rPr>
        <sz val="13"/>
        <rFont val="Arial"/>
        <family val="2"/>
      </rPr>
      <t>: SOCIJALNA SKRB I ZDRAVSTVO</t>
    </r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</si>
  <si>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VISOKO OBRAZOVANJE</t>
    </r>
  </si>
  <si>
    <t>Naknade građanima i kućanstvima</t>
  </si>
  <si>
    <t>Ostale naknade građanima i kućanstvima iz proračuna</t>
  </si>
  <si>
    <t>Stipendije i školarine</t>
  </si>
  <si>
    <t>Rashodi za nabavkuproizvedene dugotrajne imovine</t>
  </si>
  <si>
    <t>Tekuće donacije u novcu (HGSS I CK)</t>
  </si>
  <si>
    <t>Posebni dio Proračuna sastoji se od plana rashoda i izdataka iskazanih po vrstama, raspoređenih u programe, koji se sastoje od aktivnosti i projekata, kako slijedi:</t>
  </si>
  <si>
    <r>
      <rPr>
        <b/>
        <sz val="13"/>
        <rFont val="Arial"/>
        <family val="2"/>
      </rPr>
      <t>GLAVA 0-06:</t>
    </r>
    <r>
      <rPr>
        <sz val="13"/>
        <rFont val="Arial"/>
        <family val="2"/>
      </rPr>
      <t xml:space="preserve"> PROMICANJE DRUŠTVENIH DJELATNOSTI</t>
    </r>
  </si>
  <si>
    <r>
      <rPr>
        <b/>
        <sz val="13"/>
        <rFont val="Arial"/>
        <family val="2"/>
      </rPr>
      <t xml:space="preserve">GLAVA 0-08: </t>
    </r>
    <r>
      <rPr>
        <sz val="13"/>
        <rFont val="Arial"/>
        <family val="2"/>
      </rPr>
      <t>UPRAVLJANJE IMOVINOM</t>
    </r>
  </si>
  <si>
    <t>Ceste i ostali slični objekti</t>
  </si>
  <si>
    <r>
      <rPr>
        <b/>
        <sz val="12"/>
        <rFont val="Arial"/>
        <family val="2"/>
      </rPr>
      <t>PROGRAM 0003</t>
    </r>
    <r>
      <rPr>
        <sz val="12"/>
        <rFont val="Arial"/>
        <family val="2"/>
      </rPr>
      <t>: ODRŽAVANJE I IZGRADNJA GRAĐ. OBJEKATA</t>
    </r>
  </si>
  <si>
    <r>
      <rPr>
        <b/>
        <sz val="13"/>
        <rFont val="Arial"/>
        <family val="2"/>
      </rPr>
      <t>GLAVA 0-10:</t>
    </r>
    <r>
      <rPr>
        <sz val="13"/>
        <rFont val="Arial"/>
        <family val="2"/>
      </rPr>
      <t xml:space="preserve"> JAČANJE GOSPODARSTVA</t>
    </r>
  </si>
  <si>
    <r>
      <rPr>
        <b/>
        <sz val="12"/>
        <rFont val="Arial"/>
        <family val="2"/>
      </rPr>
      <t>PROGRAM 0001:</t>
    </r>
    <r>
      <rPr>
        <sz val="12"/>
        <rFont val="Arial"/>
        <family val="2"/>
      </rPr>
      <t xml:space="preserve"> LAG "SLAVONSKI RAVNICA"</t>
    </r>
  </si>
  <si>
    <t>Članarina LAG</t>
  </si>
  <si>
    <r>
      <t xml:space="preserve">RAZDJEL 010-0: </t>
    </r>
    <r>
      <rPr>
        <sz val="13"/>
        <rFont val="Arial"/>
        <family val="2"/>
        <charset val="238"/>
      </rPr>
      <t>JEDINSTVENI UPRAVNI ODJEL, OPĆINSKA PREDSTAVNIČKA I IZVRŠNA TIJELA</t>
    </r>
  </si>
  <si>
    <t>Izvor prihoda: 03 Prihodi za posebne namjene, 06 Prihodi od nefin. imov.</t>
  </si>
  <si>
    <t>AKTIVNOST: 02 - OPĆI POSLOVI OPĆINSKE UPRAVE</t>
  </si>
  <si>
    <t>AKTIVNOST: 01 - SREDSTVA ZA RAD OPĆINSKOG VIJEĆA</t>
  </si>
  <si>
    <t>0001-01</t>
  </si>
  <si>
    <t>0002-01</t>
  </si>
  <si>
    <t>AKTIVNOST: 01 - SREDSTVA ZA RAD OPĆ. NAČELNIKA</t>
  </si>
  <si>
    <t>AKTIVNOST: 03 - NABAVKA PROIZVEDENE IMOVINE</t>
  </si>
  <si>
    <t>AKTIVNOST: 04 - INFORMATIZACIJA POSLOVANJA</t>
  </si>
  <si>
    <t>AKTIVNOST: 05 - PROVEDBA ZAKONA O ZAŠTITI NA RADU</t>
  </si>
  <si>
    <t xml:space="preserve">AKTIVNOST: 06 - NAKNADA ŠTETE </t>
  </si>
  <si>
    <t>AKTIVNOST: 01 - "MALA ŠKOLA"</t>
  </si>
  <si>
    <t>AKTIVNOST: 01 - DONACIJE PODRUČNIM ŠKOLAMA</t>
  </si>
  <si>
    <t>AKTIVNOST: 02 - SUFINANCIRANJE LJETOVANJA UČENIKA</t>
  </si>
  <si>
    <t>AKTIVNOST: 03 - FINAN. ŠK. PRIBORA UČENICIMA 1.RAZ.</t>
  </si>
  <si>
    <t>AKTIVNOST: 01 - STIPENDIRANJE STUDENATA</t>
  </si>
  <si>
    <t>AKTIVNOST: 01 - POMOĆ SOC.UGROŽENIM OBITELJIMA I RODITELJIMA NOVOROĐENE DJECE</t>
  </si>
  <si>
    <t>AKTIVNOST: 02 - JEDNOKRATNA POMOĆ OBITELJIMA POGINULIH HRVATSKIH BRANITELJA</t>
  </si>
  <si>
    <t>0001-02</t>
  </si>
  <si>
    <t>0001-03</t>
  </si>
  <si>
    <t>0001-04</t>
  </si>
  <si>
    <t>0001-05</t>
  </si>
  <si>
    <t>0001-06</t>
  </si>
  <si>
    <t>0002-02</t>
  </si>
  <si>
    <t>0002-03</t>
  </si>
  <si>
    <t>0003-01</t>
  </si>
  <si>
    <t>AKTIVNOST: 01 - DERATIZACIJA I DEZINSEKCIJA</t>
  </si>
  <si>
    <t>AKTIVNOST: 01 - ZAŠTITA OD POŽARA</t>
  </si>
  <si>
    <t>AKTIVNOST: 02 - SUSTAV ZAŠTITE I SPAŠAVANJA</t>
  </si>
  <si>
    <t>AKTIVNOST: 03 - CIVILNA ZAŠT.- OPREMANJE POSTROJBE</t>
  </si>
  <si>
    <t>AKTIVNOST: 04 - PRIMJENA ZAKONA O ZAŠTITI STANOVNIŠTVA I MATERIJALNIH DOBARA</t>
  </si>
  <si>
    <t>AKTIVNOST: 01 - PROTUGRADNA OBRANA</t>
  </si>
  <si>
    <t>AKTIVNOST: 01 - REDOVNO DJELOVANJE SPORTSKIH DR.</t>
  </si>
  <si>
    <t>AKTIVNOST: 01 - MANIFESTACIJE (turniri, koncerti, smotre)</t>
  </si>
  <si>
    <t>AKTIVNOST: 02 - IZDAVANJE KNJIGE LUKE LUKIĆA</t>
  </si>
  <si>
    <t>AKTIVNOST: 03 - OBILJEŽAVANJE DANA OPĆINE</t>
  </si>
  <si>
    <t>AKTIVNOST: 01 - SURADNJA S VJERSKIM ZAJEDNICAMA</t>
  </si>
  <si>
    <t>AKTIVNOST: 01 - DJELATNOSTI UDRUGA GRAĐANA</t>
  </si>
  <si>
    <t>AKTIVNOST: 01 - SANACIJA DIVLJIH ODLAGALIŠTA</t>
  </si>
  <si>
    <t>AKTIVNOST: 01 - RASHODI ZA JAVNU RASVJETU</t>
  </si>
  <si>
    <t>AKTIVNOST: 02 - ODRŽAVANJE GROBLJA</t>
  </si>
  <si>
    <t>AKTIVNOST: 03 - NERAZVRSTANE CESTE I JAVNE POVR.</t>
  </si>
  <si>
    <t>AKTIVNOST: 04 - TEKUĆE ODRŽ. OSTALE NENAVEDENE KOMUNALNE INFRASTRUKTURE</t>
  </si>
  <si>
    <t>PROJEKT: 01 - OTKUP ZEMLJIŠTA ZA IZGRADNJU OBJEKATA I UREĐENJE KOMUNALNE INFRASTRUK.</t>
  </si>
  <si>
    <t>PROJEKT: 02 - IZGRADNJA ODVODNJE NA PODR. OPĆINE</t>
  </si>
  <si>
    <t>PROJEKT: 03 - IZGRADNJA VODOOPSKRBNOG SUS. OPĆ.</t>
  </si>
  <si>
    <t>PROJEKT: 04 - MODERNIZACIJA JAVNE RASVJETE</t>
  </si>
  <si>
    <t>PROJEKT: 05 - IZGRADNJA CESTA,NOGOSTUPA I UGIBAL.</t>
  </si>
  <si>
    <t>PROJEKT: 01 - TEK. ODRŽ. I OPREMANJE GRAĐ. OBJEK.</t>
  </si>
  <si>
    <t>PROJEKT: 02 - IZGRADNJA NOVE OPĆINSKE ZGRADE</t>
  </si>
  <si>
    <t>PROJEKT: 03 - DOGRADNJA DRUŠTV. DOMA G.BEBRINA</t>
  </si>
  <si>
    <t xml:space="preserve">PROJEKT: 01 - PR. PLANIRANJE OPĆINE - IZRADA PPU </t>
  </si>
  <si>
    <t>AKTIVNOST: 01 - SUF. RADA LAG "SLAVONSKA RAVNICA"</t>
  </si>
  <si>
    <t>INDEKS 6/5</t>
  </si>
  <si>
    <t>FUNKCIJKA KLAS.: 06 USL. UNAPREĐENJA ST. I ZAJEDNICE</t>
  </si>
  <si>
    <t>INDEKS 7/6</t>
  </si>
  <si>
    <t>Naknade za rad pred.i izvrš. tijela, povjerenstava i sl.</t>
  </si>
  <si>
    <t>Povrat poreza i prireza na dohodak po god. prijavi</t>
  </si>
  <si>
    <t>Porez i prirez na dohodak od imovine i imov. prava</t>
  </si>
  <si>
    <t>0004-01</t>
  </si>
  <si>
    <t>0002-04</t>
  </si>
  <si>
    <t>0002-05</t>
  </si>
  <si>
    <t>0003-02</t>
  </si>
  <si>
    <t>0003-03</t>
  </si>
  <si>
    <t>0003-04</t>
  </si>
  <si>
    <t>PROJEKT: 04 - NOVI DRUŠTVENI DOM U RUŠČICI</t>
  </si>
  <si>
    <t>PROJEKT: 05 - IZGRADNJA ZMG "BIĐEVI", RUŠ.</t>
  </si>
  <si>
    <t>0003-05</t>
  </si>
  <si>
    <t>PROJEKT: 06 - IZGRADNJA GOSP. ZONE "JELAS", RUŠ.</t>
  </si>
  <si>
    <t>0003-06</t>
  </si>
  <si>
    <t>0003-07</t>
  </si>
  <si>
    <t>PROJEKT: 07 - SPORTSKI I REKREACIJSKI TERENI</t>
  </si>
  <si>
    <t>PRIHODI UKUPNO</t>
  </si>
  <si>
    <t>RASHODI UKUPNO</t>
  </si>
  <si>
    <t>Naknade troš. osobama izvan radnog odnosa</t>
  </si>
  <si>
    <t>Rashodi za dodatna ulaganja na nefin. imovini</t>
  </si>
  <si>
    <t>02</t>
  </si>
  <si>
    <t>03</t>
  </si>
  <si>
    <t>04</t>
  </si>
  <si>
    <t>05</t>
  </si>
  <si>
    <t>06</t>
  </si>
  <si>
    <t>07</t>
  </si>
  <si>
    <t>Pomoći od izvanproračunskih korisnika</t>
  </si>
  <si>
    <t>Pomoći iz državnog proračuna temeljem prijenosa EU sredstava</t>
  </si>
  <si>
    <t>Kapitalne pomoći od izvanproračunskih korisnika</t>
  </si>
  <si>
    <t>Tekuće pomoći od izvanproračunskih korisnika</t>
  </si>
  <si>
    <t>Tekuće pomoći iz državnog proračuna temeljem prijenosa EU sredstava</t>
  </si>
  <si>
    <t>OPĆINA GORNJA VRBA</t>
  </si>
  <si>
    <t>Braće Radić1, Gornja Vrba</t>
  </si>
  <si>
    <t>OIB 57288773562</t>
  </si>
  <si>
    <t>Tekuće pomoći Proračuna iz drugih proračuna</t>
  </si>
  <si>
    <t>Kapitalne pomoći iz državnog proračuna temeljem prijenosa EU sredstava</t>
  </si>
  <si>
    <t xml:space="preserve">Ostale nespomenut naknade i pristojbe </t>
  </si>
  <si>
    <t>Kazne, upravne mjere i ostali prihodi</t>
  </si>
  <si>
    <t>Kazne i upravne mjere</t>
  </si>
  <si>
    <t>Ostale nespomenute kazne</t>
  </si>
  <si>
    <t xml:space="preserve">Prihodi od prodaje materijalne imovine </t>
  </si>
  <si>
    <t>Subvencije trg. društvima i zadrugama izvan javnog sektora</t>
  </si>
  <si>
    <t>Sportska i glazbena oprema</t>
  </si>
  <si>
    <t>Ostala nematerijalna proizvedena imovina</t>
  </si>
  <si>
    <t>AKTIVNOST 01: JAVNA UPRAVA I ADMINISTRACIJA</t>
  </si>
  <si>
    <t>T001010101</t>
  </si>
  <si>
    <t>T001010102</t>
  </si>
  <si>
    <t>Službena, radna i zaštitna odjeća i obuća</t>
  </si>
  <si>
    <t>Usluge tekućeg i investicijskog održavanja post.i opreme</t>
  </si>
  <si>
    <t>Obvezni i preventivni pregledi zaposlenika</t>
  </si>
  <si>
    <t>T001010103</t>
  </si>
  <si>
    <t>T001010104</t>
  </si>
  <si>
    <t>T001010105</t>
  </si>
  <si>
    <t>T001010106</t>
  </si>
  <si>
    <t xml:space="preserve"> </t>
  </si>
  <si>
    <t>Tekuće donacije udrugama i političkim strankama</t>
  </si>
  <si>
    <t>Subvencije trg.društvima,poljoprivrednicima i obrtnicima</t>
  </si>
  <si>
    <t>Subvencije trgovačkim društvima izvan javnog sektora</t>
  </si>
  <si>
    <t>Ostale tekuće donacije u novcu</t>
  </si>
  <si>
    <t xml:space="preserve">Ostale tekuće donacije u novcu  </t>
  </si>
  <si>
    <t xml:space="preserve">Ostala nematerijalna prizvedena imovina </t>
  </si>
  <si>
    <t>Službena , radna i zaštitna odjeća</t>
  </si>
  <si>
    <t>FUNKCIJSKA KLASIFIKACIJA: 06 USLUGE UNAPREĐENJA STANOVANJA I ZAJEDNICE</t>
  </si>
  <si>
    <t>FUN.KLASIF. 06 USLUGE UNAPREĐENJA STANOVANJA I ZAJED.</t>
  </si>
  <si>
    <t>Komunalne usluge održavanja groblja</t>
  </si>
  <si>
    <t>Višak prihoda</t>
  </si>
  <si>
    <t>Manjak primitaka</t>
  </si>
  <si>
    <t>Izrada centralnog križa</t>
  </si>
  <si>
    <t>Naknade građanima i kućanstvima u novcu - studentske stipendije</t>
  </si>
  <si>
    <t>Naknade građanima i kućanstvima u naravi - sufinanciranje javnog prijevoza za učenike, studente, umirovljenike i dr.</t>
  </si>
  <si>
    <t xml:space="preserve">Naknade građanima i kućanstvima u naravi - sufinanciranje nabave školskog pribora i radnih bilježnica za učenike </t>
  </si>
  <si>
    <t>Tekuće donacije vatrogastvu</t>
  </si>
  <si>
    <t>AKTIVNOST 02: OPĆI POSLOVI OPĆINSKE UPRAVE</t>
  </si>
  <si>
    <t>AKTIVNOST 03: NABAVKA PROIZVEDENE IMOVINE</t>
  </si>
  <si>
    <t>AKTIVNOST 04: INFORMATIZACIJA POSLOVANJA</t>
  </si>
  <si>
    <t>AKTIVNOST 05: PROVEDBA ZAKONA O ZAŠTITI NA RADU</t>
  </si>
  <si>
    <t xml:space="preserve">AKTIVNOST 06: NAKNADA ŠTETE </t>
  </si>
  <si>
    <t>AKTIVNOST 02: POTICANJE GOSPODARSKOG RAZVOJA NA PODRUČJU OPĆINE GORNJA VRBA</t>
  </si>
  <si>
    <t>AKTIVNOST 01: PROVOĐENJE PREDŠKOLSKOG MINIMUMA</t>
  </si>
  <si>
    <t>AKTIVNOST 01: OSNOVNO ŠKOLSTVO</t>
  </si>
  <si>
    <t>AKTIVNOST 01: RAD S DJECOM S POSEBNIM POTREBAMA</t>
  </si>
  <si>
    <t>AKTIVNOST 01: POMOĆ SOC.UGROŽENIM OBITELJIMA, STUDENTIMA I NOVOROĐENOJ DJECI</t>
  </si>
  <si>
    <t xml:space="preserve">AKTIVNOST 02: VETERINARSKE USLUGE </t>
  </si>
  <si>
    <t>AKTIVNOST 01: ZAŠTITA OD POŽARA</t>
  </si>
  <si>
    <t>AKTIVNOST 02: PLAN ZAŠTITE OD POŽARA</t>
  </si>
  <si>
    <t>FUNKCIJSKA KLASIF.: 08 REKREACIJA, KULTURA I RELIGIJA</t>
  </si>
  <si>
    <t>AKTIVNOST 02: OBILJEŽAVANJE DANA OPĆINE</t>
  </si>
  <si>
    <t>AKTIVNOST 01: SUF.KUD-a VRBA I DR.UDRUGA U KULTURI</t>
  </si>
  <si>
    <t>AKTIVNOST 01: SURADNJA S POLITIČKIM ORGANIZACIJAMA</t>
  </si>
  <si>
    <t>AKTIVNOST 01: SURADNJA S VJERSKIM ZAJEDNICAMA</t>
  </si>
  <si>
    <t>AKTIVNOST 02: POMOĆI UDRUGAMA GRAĐANA</t>
  </si>
  <si>
    <t>AKTIVNOST 01: GOSPODARENJE OTPADOM</t>
  </si>
  <si>
    <t>AKTIVNOST 01: RASHODI ZA UREĐAJE I JAVNU RASVJETU</t>
  </si>
  <si>
    <t xml:space="preserve">AKTIVNOST 03: NERAZVRSTANE CESTE </t>
  </si>
  <si>
    <t>PROJEKT 01: OSIGURANJE ZEMLJIŠTA ZA IZGRADNJU OBJEKATA I UREĐENJE KOMUNALNE INFRASTRUKTURE</t>
  </si>
  <si>
    <t>PROJEKT 02: MODERNIZACIJA JAVNE RASVJETE</t>
  </si>
  <si>
    <t xml:space="preserve">PROJEKT 03: MODERNIZACIJA KOLNIKA </t>
  </si>
  <si>
    <t>AKTIVNOST 01: TEK. ODRŽ. GRAĐEVINSKIH OBJEKATA</t>
  </si>
  <si>
    <t>RAZDJEL 001: OPĆINA GORNJA VRBA</t>
  </si>
  <si>
    <t>GLAVA 01: PROGRAMI JEDINSTVENOG UPR.ODJELA, OPĆINSKOG NAČELNIKA I OPĆINSKOG VIJEĆA</t>
  </si>
  <si>
    <t>PROGRAM 03: PROVOĐENJE LOKALNIH IZBORA</t>
  </si>
  <si>
    <t>T001010201</t>
  </si>
  <si>
    <t>T001010301</t>
  </si>
  <si>
    <t>T001010401</t>
  </si>
  <si>
    <t>T001010501</t>
  </si>
  <si>
    <t>T001010601</t>
  </si>
  <si>
    <t>T001010701</t>
  </si>
  <si>
    <t>T001010801</t>
  </si>
  <si>
    <t>T001010901</t>
  </si>
  <si>
    <t>AKTIVNOST 01: DERATIZACIJA i DEZINSEKCIJA</t>
  </si>
  <si>
    <t>T001011001</t>
  </si>
  <si>
    <t>T001011002</t>
  </si>
  <si>
    <t>T001011101</t>
  </si>
  <si>
    <t>T001011201</t>
  </si>
  <si>
    <t>T001011301</t>
  </si>
  <si>
    <t>T001011601</t>
  </si>
  <si>
    <t>T001011602</t>
  </si>
  <si>
    <t>T001011802</t>
  </si>
  <si>
    <t>K001011901</t>
  </si>
  <si>
    <t>K001011902</t>
  </si>
  <si>
    <t>K001012004</t>
  </si>
  <si>
    <t>K001012008</t>
  </si>
  <si>
    <t>T001012101</t>
  </si>
  <si>
    <t>AKTIVNOST 01: POTICANJE PROIZVODNIH DJELAT. U GOSPODARSKOJ ZONI</t>
  </si>
  <si>
    <t>AKTIVNOST 01: REDOVNO DJELOVANJE SPORT. UDRUGA</t>
  </si>
  <si>
    <t>AKTIVNOST 02: NABAVKA POSUDA ZA ODVOJENO PRIKUPLJANJE OTPADA</t>
  </si>
  <si>
    <t>PROJEKT 04: POMOĆI TRG. DRUŠ. U JAVNOM SEKTORU ZA IZGRADNJU KOMUNALNO-VODNIH GRAĐEVINA</t>
  </si>
  <si>
    <t>FUNK. KLASIF.: 06 USLUGE UNAPREĐ. STANOVANJA I ZAJEDNICE</t>
  </si>
  <si>
    <t>Naknade građanima i kućanstvima u novcu - jednokr. novčane pomoći za socijalno ugrožene obitelji, božićnica i uskrsnica umirovljenicima</t>
  </si>
  <si>
    <t>Umjetnička, literarna i znanstvena djela</t>
  </si>
  <si>
    <t>Dio koji će se rasporediti/pokriti u razdoblju</t>
  </si>
  <si>
    <t>Ukupan donos viška iz prethodnih godina</t>
  </si>
  <si>
    <t>Modernizacija kolnika na području Općine Gornja Vrba</t>
  </si>
  <si>
    <t>II. POSEBNI DIO PRORAČUNA - OPĆINA GORNJA VRBA</t>
  </si>
  <si>
    <t>2023.</t>
  </si>
  <si>
    <t>Prihodi od pruženih usluga</t>
  </si>
  <si>
    <t>Prihodi od pruženih usluga (10% NUV)</t>
  </si>
  <si>
    <t>Subvencije poljoprivrednicima i obrtnicima - poticanje poduzetništva</t>
  </si>
  <si>
    <t>Rashodi za dodatna ulaganja na nefinancijskoj imovini</t>
  </si>
  <si>
    <t>Tekuće donacije udrugama (CK)</t>
  </si>
  <si>
    <t>Kapitalne pomoći kreditnim i ostalim financijskim institucijama te trgovačkim društvima unutar javnog sektora</t>
  </si>
  <si>
    <t>Kapitalne pomoći kreditnim i ostalim financijskim institucijama te trgovačkim društvima unutar javnog sektora - projekt BROD2</t>
  </si>
  <si>
    <t>Kapitalne pom.trg.društvima unutar javnog sektora</t>
  </si>
  <si>
    <t>Otplata glavnice primljenih zajmova od trgovačkih društava izvan jav. sek.</t>
  </si>
  <si>
    <t>Prihodi od zakupa zemljišta u vl. općine</t>
  </si>
  <si>
    <t>AKTIVNOST 01: PLAĆE ZAPOSLENIH</t>
  </si>
  <si>
    <t>T001012401</t>
  </si>
  <si>
    <t>Naknade za prijevoz</t>
  </si>
  <si>
    <t>PROJEKT 02: IZGRADNJA RASVJETE NA ŠRC "GORAN JURIĆ", GORNJA VRBA</t>
  </si>
  <si>
    <t>AKTIVNOST 01: RAD OPĆ. VIJEĆA , OPĆ.NAČELNIKA</t>
  </si>
  <si>
    <t>1 - Opći prihodi i primici</t>
  </si>
  <si>
    <t>2 - Doprinosi</t>
  </si>
  <si>
    <t>3 - Vlastiti prihodi</t>
  </si>
  <si>
    <t>4 - Prihodi za posebne namjene</t>
  </si>
  <si>
    <t>5 - Pomoći</t>
  </si>
  <si>
    <t>6 - Donacije</t>
  </si>
  <si>
    <t>7 - Prihodi od prodaje ili zamjene nefinancijske imovine i naknade s naslova osiguranja</t>
  </si>
  <si>
    <t>ŠIFRARNIK IZVORA FINANCIRANJA:</t>
  </si>
  <si>
    <t>IZVOR FINANCIRANJA</t>
  </si>
  <si>
    <t>I. OPĆI DIO - SAŽETAK</t>
  </si>
  <si>
    <t>PROGRAM 01: JAVNA UPRAVA I ADMINISTRACIJA</t>
  </si>
  <si>
    <t>Intelektualne i osobne usluge (IN KONZALTING)</t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</si>
  <si>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      (u EURIMA)</t>
    </r>
  </si>
  <si>
    <r>
      <t xml:space="preserve">PLAN ZA       </t>
    </r>
    <r>
      <rPr>
        <b/>
        <sz val="14"/>
        <rFont val="Arial"/>
        <family val="2"/>
        <charset val="238"/>
      </rPr>
      <t>2023.</t>
    </r>
    <r>
      <rPr>
        <sz val="14"/>
        <rFont val="Arial"/>
        <family val="2"/>
        <charset val="238"/>
      </rPr>
      <t xml:space="preserve">                    (u KUNAMA)</t>
    </r>
  </si>
  <si>
    <t>Naknade u novcu - dar roditeljima za novorođenu djecu</t>
  </si>
  <si>
    <t>Naknade u novcu - pomoć roditeljima srednjoškolaca</t>
  </si>
  <si>
    <t>Naknade u novcu - pomoć mladim obiteljima za kupnju nekretnine</t>
  </si>
  <si>
    <t>Naknade u naravi - sufinanciranje boravka djece u vrtiću</t>
  </si>
  <si>
    <t>Naknade u naravi - sufinanciranje priključaka na kanalizaciju</t>
  </si>
  <si>
    <t>2023.          u HRK</t>
  </si>
  <si>
    <t>Iznos u kunama dvojno je iskazan u eurima prema fiksnom tečaju konverzije 1 EUR = 7,53450 HRK</t>
  </si>
  <si>
    <r>
      <t xml:space="preserve">PLAN ZA       </t>
    </r>
    <r>
      <rPr>
        <b/>
        <sz val="14"/>
        <color rgb="FFFF0000"/>
        <rFont val="Arial"/>
        <family val="2"/>
        <charset val="238"/>
      </rPr>
      <t>2023.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</si>
  <si>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Napomena: Redak UKUPAN DONOS VIŠKA/MANJKA IZ PRETHODNE(IH) GODINA služi kao informacija i ne uzima se u obzir kod uravnoteženja proračuna, već se proračun uravnotežuje retkom DIO KOJI ĆE SE RASPOREDITI/POKRITI U RAZDOBLJU.</t>
  </si>
  <si>
    <t>A)  SAŽETAK RAČUNA PRIHODA I RASHODA</t>
  </si>
  <si>
    <t>B)  SAŽETAK RAČUNA FINANCIRANJA</t>
  </si>
  <si>
    <t>C) PRENESENI VIŠAK ILI PRENESENI MANJAK I VIŠEGODIŠNJI PLAN URAVNOTEŽENJA</t>
  </si>
  <si>
    <t>2024.          u HRK</t>
  </si>
  <si>
    <r>
      <t>PROJEKCIJA    ZA 2024</t>
    </r>
    <r>
      <rPr>
        <b/>
        <sz val="14"/>
        <color rgb="FFFF0000"/>
        <rFont val="Arial"/>
        <family val="2"/>
        <charset val="238"/>
      </rPr>
      <t>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</si>
  <si>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PROGRAM 02: REDOVNA DJELATNOST PREDSTAVNIČKIH I              IZVRŠNIH TIJELA JLS</t>
  </si>
  <si>
    <t>2025.          u HRK</t>
  </si>
  <si>
    <r>
      <t>PROJEKCIJA    ZA 2025</t>
    </r>
    <r>
      <rPr>
        <b/>
        <sz val="14"/>
        <color rgb="FFFF0000"/>
        <rFont val="Arial"/>
        <family val="2"/>
        <charset val="238"/>
      </rPr>
      <t>.</t>
    </r>
    <r>
      <rPr>
        <sz val="14"/>
        <color rgb="FFFF0000"/>
        <rFont val="Arial"/>
        <family val="2"/>
        <charset val="238"/>
      </rPr>
      <t xml:space="preserve">                          (u HRK)</t>
    </r>
  </si>
  <si>
    <t>AKTIVNOST 02: SUFINANCIRANJE TROŠKOVA</t>
  </si>
  <si>
    <t>AKTIVNOST 03: HUMANITARNA SKRB KROZ UDRUGE GRAĐANA</t>
  </si>
  <si>
    <t>AKTIVNOST 04: JEDNOKRATNA PRAVA IZ ZAKONA O PRAVIMA HRV. BRANITELJA I ČLANOVA NJIHOVIH OBITELJI</t>
  </si>
  <si>
    <t>T001010302</t>
  </si>
  <si>
    <t>T001010702</t>
  </si>
  <si>
    <t>T001010703</t>
  </si>
  <si>
    <t>T001010704</t>
  </si>
  <si>
    <t>T001010902</t>
  </si>
  <si>
    <t>T001011003</t>
  </si>
  <si>
    <t>T001011004</t>
  </si>
  <si>
    <t>T001011202</t>
  </si>
  <si>
    <r>
      <t xml:space="preserve">Izvor prihoda: </t>
    </r>
    <r>
      <rPr>
        <b/>
        <sz val="11"/>
        <rFont val="Arial"/>
        <family val="2"/>
        <charset val="238"/>
      </rPr>
      <t>561 Pomoći - ESF</t>
    </r>
  </si>
  <si>
    <t>561 - ESF</t>
  </si>
  <si>
    <t>51</t>
  </si>
  <si>
    <t>521</t>
  </si>
  <si>
    <t>522</t>
  </si>
  <si>
    <t>523</t>
  </si>
  <si>
    <t>524</t>
  </si>
  <si>
    <t>4301</t>
  </si>
  <si>
    <t>4302</t>
  </si>
  <si>
    <t>4303</t>
  </si>
  <si>
    <t>4304</t>
  </si>
  <si>
    <t>4305</t>
  </si>
  <si>
    <t>4306</t>
  </si>
  <si>
    <t>31</t>
  </si>
  <si>
    <t>71</t>
  </si>
  <si>
    <t>11</t>
  </si>
  <si>
    <t>Naknada za korištenje nefin.imovine (sp.renta)</t>
  </si>
  <si>
    <t>43</t>
  </si>
  <si>
    <t>11,42</t>
  </si>
  <si>
    <t>INDEKS 3/1</t>
  </si>
  <si>
    <t>INDEKS 5/3</t>
  </si>
  <si>
    <t>8 - Namjenski primici od zaduživanja</t>
  </si>
  <si>
    <t>INDEKS 3/1*100</t>
  </si>
  <si>
    <t>INDEKS 5/3*100</t>
  </si>
  <si>
    <t>T001011401</t>
  </si>
  <si>
    <t>T001011402</t>
  </si>
  <si>
    <t>T001011501</t>
  </si>
  <si>
    <t>T001011502</t>
  </si>
  <si>
    <t>T001011603</t>
  </si>
  <si>
    <t>T001011605</t>
  </si>
  <si>
    <t>T001011606</t>
  </si>
  <si>
    <t>T001011607</t>
  </si>
  <si>
    <t>T001011608</t>
  </si>
  <si>
    <t>T001011609</t>
  </si>
  <si>
    <t>T001011610</t>
  </si>
  <si>
    <t>T001011611</t>
  </si>
  <si>
    <t>T001011612</t>
  </si>
  <si>
    <t>T001011613</t>
  </si>
  <si>
    <t>K001011701</t>
  </si>
  <si>
    <t>K001011702</t>
  </si>
  <si>
    <t>K001011703</t>
  </si>
  <si>
    <t>K001011704</t>
  </si>
  <si>
    <t>K001011705</t>
  </si>
  <si>
    <t>K001011801</t>
  </si>
  <si>
    <t>K001011802</t>
  </si>
  <si>
    <t>K001011803</t>
  </si>
  <si>
    <t>K001011804</t>
  </si>
  <si>
    <t>K001011805</t>
  </si>
  <si>
    <t>K001011806</t>
  </si>
  <si>
    <t>K001011808</t>
  </si>
  <si>
    <t>K001011810</t>
  </si>
  <si>
    <t>K001011811</t>
  </si>
  <si>
    <t>K001011812</t>
  </si>
  <si>
    <t>T001011901</t>
  </si>
  <si>
    <t>T001011902</t>
  </si>
  <si>
    <t>T001012001</t>
  </si>
  <si>
    <r>
      <t xml:space="preserve">PROJEKCIJA        ZA </t>
    </r>
    <r>
      <rPr>
        <b/>
        <sz val="14"/>
        <rFont val="Arial"/>
        <family val="2"/>
        <charset val="238"/>
      </rPr>
      <t>2026.</t>
    </r>
    <r>
      <rPr>
        <sz val="14"/>
        <rFont val="Arial"/>
        <family val="2"/>
        <charset val="238"/>
      </rPr>
      <t xml:space="preserve">                          </t>
    </r>
  </si>
  <si>
    <t xml:space="preserve">2025.      </t>
  </si>
  <si>
    <t xml:space="preserve">2026.      </t>
  </si>
  <si>
    <t xml:space="preserve">Intelektualne i osobne usluge </t>
  </si>
  <si>
    <t xml:space="preserve">Rashodi za usluge </t>
  </si>
  <si>
    <t xml:space="preserve">Dodatna ulaganja na građevinskim objektima </t>
  </si>
  <si>
    <t>PROJEKT 05: ZACJEVLJENJE KANALA U ULICI VRB.ŽRTAVA, G.VRBA (SJEVERNA STRANA)</t>
  </si>
  <si>
    <t>Naknade građanima i kućanstvima u naravi - sufinanciranje školskih izleta i ljetovanja učenika, škole plivanja i terenske nastave</t>
  </si>
  <si>
    <t>Dodatna ulaganja za ostalu nefinancijsku imovinu</t>
  </si>
  <si>
    <t>Naknade u naravi - pomoć i njega u kući (Crveni križ), sufinanc. boravka u domovima za starije i nemoćne</t>
  </si>
  <si>
    <t>Izgradnja ceste na kčbr. 114/10 K.O.Vrba</t>
  </si>
  <si>
    <t>Kapitalne pomoći Proračuna iz drugih proračuna</t>
  </si>
  <si>
    <t>AKTIVNOST 02: PROMIDŽBA I VIDLJIVOST PROGRAMA</t>
  </si>
  <si>
    <t>FUNKC.KLASIF.: 06 USLUGE UNAPREĐ. STANOVANJA I ZAJEDNICE</t>
  </si>
  <si>
    <t xml:space="preserve">PROJEKT 06: IZGRADNJA KANALIZACIJE U SJEVERNOJ GOSPODARSKOJ ZONI </t>
  </si>
  <si>
    <t>K001011706</t>
  </si>
  <si>
    <t>K001011813</t>
  </si>
  <si>
    <t xml:space="preserve">AKTIVNOST 01:POMOĆ STARIJIM I NEMOĆNIM OSOBAMA  </t>
  </si>
  <si>
    <t>PRIJEDLOG PRORAČUNA ZA 2025. GODINU</t>
  </si>
  <si>
    <t>S PROJEKCIJAMA ZA 2026. I 2027. GODINU</t>
  </si>
  <si>
    <t xml:space="preserve">2027.      </t>
  </si>
  <si>
    <t xml:space="preserve">2025.           </t>
  </si>
  <si>
    <t xml:space="preserve">2026.         </t>
  </si>
  <si>
    <t xml:space="preserve">2027.        </t>
  </si>
  <si>
    <r>
      <t xml:space="preserve">PLAN ZA       </t>
    </r>
    <r>
      <rPr>
        <b/>
        <sz val="14"/>
        <rFont val="Arial"/>
        <family val="2"/>
        <charset val="238"/>
      </rPr>
      <t>2025.</t>
    </r>
    <r>
      <rPr>
        <sz val="14"/>
        <rFont val="Arial"/>
        <family val="2"/>
        <charset val="238"/>
      </rPr>
      <t xml:space="preserve">                          </t>
    </r>
  </si>
  <si>
    <r>
      <t xml:space="preserve">PROJEKCIJA        ZA </t>
    </r>
    <r>
      <rPr>
        <b/>
        <sz val="14"/>
        <rFont val="Arial"/>
        <family val="2"/>
        <charset val="238"/>
      </rPr>
      <t>2027.</t>
    </r>
    <r>
      <rPr>
        <sz val="14"/>
        <rFont val="Arial"/>
        <family val="2"/>
        <charset val="238"/>
      </rPr>
      <t xml:space="preserve">                          </t>
    </r>
  </si>
  <si>
    <t>AKTIVNOST 01: OSTALE TEKUĆE DONACIJE</t>
  </si>
  <si>
    <t>AKTIVNOST 01: SUFINANCIRANJE RADA PRIHVATILIŠTA ZA PSE</t>
  </si>
  <si>
    <t>,</t>
  </si>
  <si>
    <t>Izgradnja ceste Galovska</t>
  </si>
  <si>
    <t>Dodatna ulaganja za nefinanc. imovinu</t>
  </si>
  <si>
    <t xml:space="preserve">AKTIVNOST 02: UREĐENJE GROBLJA NA PODRUČJU OPĆINE </t>
  </si>
  <si>
    <t>AKTIVNOST 01: LOKALNI IZBORI</t>
  </si>
  <si>
    <t>PROGRAM 04: SUBVENCIJE PODUZETNIŠTVU</t>
  </si>
  <si>
    <t>PROGRAM 05: PREDŠKOLSKI ODGOJ</t>
  </si>
  <si>
    <t>PROGRAM 06: OSNOVNO ŠKOLSTVO</t>
  </si>
  <si>
    <t>PROGRAM 07: RAD S DJECOM S POSEBNIM POTREBAMA</t>
  </si>
  <si>
    <t>PROGRAM 08: OSTALE DONACIJE U NOVCU</t>
  </si>
  <si>
    <t>PROGRAM 09: POMOĆI GRAĐANIMA I KUĆANSTVIMA</t>
  </si>
  <si>
    <t>PROGRAM 10: DODATNE USLUGE U ZDRAVSTVU I PREVENTIVA</t>
  </si>
  <si>
    <t>PROGRAM 11: ZAŠTITA ŽIVOTINJA</t>
  </si>
  <si>
    <t>PROGRAM 12: ZAŠTITA OD POŽARA I CIVILNA ZAŠTITA</t>
  </si>
  <si>
    <t>PROGRAM 13: SPORT</t>
  </si>
  <si>
    <t>PROGRAM 14: KULTURA</t>
  </si>
  <si>
    <t>PROGRAM 15: RELIGIJA</t>
  </si>
  <si>
    <t>PROGRAM 16: RAD UDRUGA GRAĐANA I POLIT.ORGANIZACIJA</t>
  </si>
  <si>
    <t>PROGRAM 17: ZAŠTITA OKOLIŠA</t>
  </si>
  <si>
    <t>PROGRAM 18: ODRŽAVANJE KOMUNALNE INFRASTRUKTURE</t>
  </si>
  <si>
    <t>PROGRAM 19: IZGRADNJA OBJEKATA KOMUNALNE INFRAST.</t>
  </si>
  <si>
    <t>PROGRAM 20: GRAĐEVINSKI OBJEKTI I JAVNE POVRŠINE</t>
  </si>
  <si>
    <t>AKTIVNOST 03: SUSTAV ZAŠTITE I SPAŠAVANJA - HGSS</t>
  </si>
  <si>
    <t>AKTIVNOST 04: CIVILNA ZAŠTITA - OPREMANJE POSTROJBE</t>
  </si>
  <si>
    <t>AKTIVNOST 05: PRIMJENA ZAKONA O ZAŠTITI    STANOVNIŠTVA I MATERIJALNIH DOBARA</t>
  </si>
  <si>
    <t>AKTIVNOST 04: NOGOSTUPI</t>
  </si>
  <si>
    <t xml:space="preserve">AKTIVNOST 05: JAVNE POVRŠINE </t>
  </si>
  <si>
    <t>AKTIVNOST 06: POLJSKI PUTEVI</t>
  </si>
  <si>
    <t xml:space="preserve">AKTIVNOST 08: NABAVKA I POSTAVLJANJE NATPISNIH PLOČA I PLOČA S NAZIVIMA ULICA </t>
  </si>
  <si>
    <t xml:space="preserve">AKTIVNOST 09: URBANI MOBILIJAR I PRIGODNO UKRAŠAVANJE </t>
  </si>
  <si>
    <t>AKTIVNOST 10: REKONSTRUKCIJA OPĆINSKOG TRGA (IDEJNI PROJEKT) I PARKINGA</t>
  </si>
  <si>
    <t>AKTIVNOST 11: SANACIJA KOLNIKA U UL.J.ODOBAŠIĆA U DONJOJ VRBI</t>
  </si>
  <si>
    <t>AKTIVNOST 12: SANACIJA KOLNIKA U UL.M.MESIĆA U GORNJOJ VRBI</t>
  </si>
  <si>
    <t xml:space="preserve">PROJEKT 02: MODERNIZACIJA NOGOSTUPA </t>
  </si>
  <si>
    <t>4320</t>
  </si>
  <si>
    <t>PROGRAM 22: "ZAŽELI III - podrška za život u zajednici",                                PROGRAM POMOĆI STARIJIM I NEMOĆNIM OSOBAMA</t>
  </si>
  <si>
    <t>PROGRAM 23: JAVNI RADOVI NA PODRUČJU OPĆINE GORNJA VRBA</t>
  </si>
  <si>
    <t>PROGRAM 21: PROSTORNO PLANIRANJE I STANJE U PROSTORU</t>
  </si>
  <si>
    <t xml:space="preserve">PROJEKT 01: IZRADA IV. IZMJENA I DOPUNA PPUO </t>
  </si>
  <si>
    <t xml:space="preserve">PROJEKT 02: IZRADA II. IZMJENA I DOPUNA UPU NASELJA GORNJA VRBA </t>
  </si>
  <si>
    <t>PROJEKT 03: IZGRADNJA PJEŠAČKE STAZE U SAVSKOJ ULICI U GORNJOJ VRBI</t>
  </si>
  <si>
    <t>PROJEKT 04: UREĐENJE JAVNIH POVRŠINA, DJ.IGRALIŠTA</t>
  </si>
  <si>
    <t>PROJEKT 05: IZGRADNJA NAVODNJAVANJA NOGOMETNOG IGRALIŠTA GORNJA VRBA</t>
  </si>
  <si>
    <r>
      <t xml:space="preserve">PROJEKT </t>
    </r>
    <r>
      <rPr>
        <b/>
        <sz val="12"/>
        <rFont val="Arial"/>
        <family val="2"/>
      </rPr>
      <t>06</t>
    </r>
    <r>
      <rPr>
        <b/>
        <sz val="12"/>
        <rFont val="Arial"/>
        <family val="2"/>
        <charset val="238"/>
      </rPr>
      <t>: IZGRADNJA MJESNOG GROBLJA GORNJA VRBA</t>
    </r>
  </si>
  <si>
    <t>PROJEKT 07: IZGRADNJA PARKIRALIŠTA KOD NOG.IGRALIŠTA U DONJOJ VRBI</t>
  </si>
  <si>
    <t>PROJEKT 08: IZGRADNJA BICIKLISTIČKE STAZE DONJA VRBA - SLAVONSKI BROD</t>
  </si>
  <si>
    <t>PROJEKT 09: UREĐENJE SPORTSKOREKREACIJSKOG ZEMLJIŠTA JUŽNO OD SJEV.GOSP.ZONE U G.VRBI</t>
  </si>
  <si>
    <t>PROJEKT 10: IZGRADNJA NOGOSTUPA U ULICI ZVONKA ŽULJEVIĆA, DONJA VRBA</t>
  </si>
  <si>
    <t xml:space="preserve">PROJEKT 11: IZGRADNJA BICIKLISTIČKE STAZE KROZ SJEVERNU GOSPODARSKU ZONU </t>
  </si>
  <si>
    <t xml:space="preserve">AKTIVNOST 07: NABAVKA I SADNJA STABALA NA JAVNOJ POVRŠINI </t>
  </si>
  <si>
    <t>Izvor prihoda: 01 Opći prihodi i primici</t>
  </si>
  <si>
    <t>Izvor prihoda: 01 Opći prihodi, 43 Prih. za pos.namjene</t>
  </si>
  <si>
    <t>Izvor prihoda: 01 Opći prihodi, 03 Vlastiti prihodi, 05 Pomoći</t>
  </si>
  <si>
    <t>Izvor prihoda:  01 Opći prihodi i primici, 05 Pomoći</t>
  </si>
  <si>
    <t>Izvor prihoda: 01 Opći prihodi, 05 Pomoći</t>
  </si>
  <si>
    <t>Izvor prihoda: 03 Vlastiti prihodi</t>
  </si>
  <si>
    <t xml:space="preserve">Izvor prihoda: 01 Opći prihodi i primici </t>
  </si>
  <si>
    <t>Izvor prihoda: 01 Opći prihodi i primici, 05 Pomoći</t>
  </si>
  <si>
    <t>Izvor prihoda: 43 Prihodi za posebne namjene</t>
  </si>
  <si>
    <t>Izvor prihoda: 02 Vlastiti prihodi, 05 Pomoći</t>
  </si>
  <si>
    <t>Izvor prihoda 01 Opći prihodi i primici</t>
  </si>
  <si>
    <t>Izvor prihoda: 05 Pomoći</t>
  </si>
  <si>
    <t>Izvor prihoda: 01 Opći prihodi i primici, 43 Prihodi za posebne namjene</t>
  </si>
  <si>
    <t>Izvor prihoda: 01 Opći prihodi i primici,  43 Prihodi za posebne namjene</t>
  </si>
  <si>
    <t>Izvor prihoda: 43 Prihodi za posebne namjene,05 Pomoći,</t>
  </si>
  <si>
    <t>Izvor prihoda: 01 Opći prihodi i primici, 43 Prihodi za posebne namjene,05 Pomoći</t>
  </si>
  <si>
    <t>Izvor prihoda:01 Opći prihodi i primici, 43 Prihodi za posebne namjene</t>
  </si>
  <si>
    <t>Izvor prihoda:01 Opći prihodi i primici, 05 Pomoći</t>
  </si>
  <si>
    <t>Izvor prihoda:  43 Prihodi za posebne namjene</t>
  </si>
  <si>
    <t>Izvor prihoda:  01 Opći prihodi i primici</t>
  </si>
  <si>
    <t>Izvor prihoda: 01- Opći prihodi i primici,  05- Pomoći</t>
  </si>
  <si>
    <r>
      <t xml:space="preserve">Izvor prihoda: </t>
    </r>
    <r>
      <rPr>
        <sz val="12"/>
        <rFont val="Arial"/>
        <family val="2"/>
        <charset val="238"/>
      </rPr>
      <t>05 - Pomoći</t>
    </r>
  </si>
  <si>
    <t>Izvor prihoda: 05 -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</si>
</sst>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50" x14ac:knownFonts="1">
    <font>
      <sz val="10"/>
      <name val="Arial"/>
      <charset val="238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6"/>
      <name val="Arial"/>
      <family val="2"/>
    </font>
    <font>
      <sz val="8"/>
      <name val="Arial"/>
      <family val="2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3"/>
      <name val="Arial"/>
      <family val="2"/>
      <charset val="238"/>
    </font>
    <font>
      <sz val="11"/>
      <name val="Arial"/>
      <family val="2"/>
      <charset val="238"/>
    </font>
    <font>
      <i/>
      <sz val="11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3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sz val="7"/>
      <name val="Arial"/>
      <family val="2"/>
      <charset val="238"/>
    </font>
    <font>
      <i/>
      <sz val="10"/>
      <name val="Arial"/>
      <family val="2"/>
      <charset val="238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b/>
      <sz val="9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6"/>
      <color rgb="FFFF0000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2"/>
      <name val="Arial Narrow"/>
      <family val="2"/>
      <charset val="238"/>
    </font>
    <font>
      <b/>
      <i/>
      <sz val="10"/>
      <name val="Arial"/>
      <family val="2"/>
      <charset val="238"/>
    </font>
    <font>
      <sz val="14"/>
      <color rgb="FFFF0000"/>
      <name val="Arial"/>
      <family val="2"/>
      <charset val="238"/>
    </font>
    <font>
      <i/>
      <sz val="8"/>
      <name val="Arial"/>
      <family val="2"/>
      <charset val="238"/>
    </font>
    <font>
      <b/>
      <sz val="8"/>
      <color rgb="FFFF0000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9EEED"/>
        <bgColor indexed="64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2">
    <xf numFmtId="0" fontId="0" fillId="0" borderId="0" xfId="0"/>
    <xf numFmtId="0" fontId="1" fillId="0" borderId="0" xfId="0" applyFont="1"/>
    <xf numFmtId="0" fontId="3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0" fontId="2" fillId="0" borderId="1" xfId="0" applyFont="1" applyBorder="1"/>
    <xf numFmtId="0" fontId="6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3" fontId="7" fillId="0" borderId="1" xfId="0" applyNumberFormat="1" applyFont="1" applyBorder="1"/>
    <xf numFmtId="3" fontId="2" fillId="0" borderId="1" xfId="0" applyNumberFormat="1" applyFon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0" fontId="6" fillId="0" borderId="1" xfId="0" applyFont="1" applyBorder="1" applyAlignment="1">
      <alignment wrapText="1"/>
    </xf>
    <xf numFmtId="3" fontId="6" fillId="0" borderId="1" xfId="0" applyNumberFormat="1" applyFont="1" applyBorder="1"/>
    <xf numFmtId="3" fontId="6" fillId="0" borderId="3" xfId="0" applyNumberFormat="1" applyFont="1" applyBorder="1"/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3" fontId="6" fillId="0" borderId="0" xfId="0" applyNumberFormat="1" applyFont="1"/>
    <xf numFmtId="164" fontId="6" fillId="0" borderId="0" xfId="0" applyNumberFormat="1" applyFont="1"/>
    <xf numFmtId="165" fontId="6" fillId="0" borderId="0" xfId="0" applyNumberFormat="1" applyFont="1"/>
    <xf numFmtId="4" fontId="6" fillId="0" borderId="0" xfId="0" applyNumberFormat="1" applyFont="1"/>
    <xf numFmtId="0" fontId="2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4" xfId="0" applyFont="1" applyBorder="1"/>
    <xf numFmtId="0" fontId="7" fillId="0" borderId="4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0" fillId="0" borderId="0" xfId="0" applyFont="1"/>
    <xf numFmtId="3" fontId="8" fillId="0" borderId="1" xfId="0" applyNumberFormat="1" applyFont="1" applyBorder="1"/>
    <xf numFmtId="4" fontId="2" fillId="0" borderId="11" xfId="0" applyNumberFormat="1" applyFont="1" applyBorder="1"/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wrapText="1"/>
    </xf>
    <xf numFmtId="3" fontId="6" fillId="0" borderId="16" xfId="0" applyNumberFormat="1" applyFont="1" applyBorder="1"/>
    <xf numFmtId="0" fontId="6" fillId="0" borderId="17" xfId="0" applyFont="1" applyBorder="1" applyAlignment="1">
      <alignment horizontal="left"/>
    </xf>
    <xf numFmtId="0" fontId="6" fillId="0" borderId="3" xfId="0" applyFont="1" applyBorder="1" applyAlignment="1">
      <alignment wrapText="1"/>
    </xf>
    <xf numFmtId="0" fontId="6" fillId="0" borderId="1" xfId="0" applyFont="1" applyBorder="1" applyAlignment="1">
      <alignment horizontal="left"/>
    </xf>
    <xf numFmtId="0" fontId="7" fillId="0" borderId="1" xfId="0" applyFont="1" applyBorder="1"/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wrapText="1"/>
    </xf>
    <xf numFmtId="3" fontId="7" fillId="0" borderId="19" xfId="0" applyNumberFormat="1" applyFont="1" applyBorder="1"/>
    <xf numFmtId="0" fontId="4" fillId="0" borderId="0" xfId="0" applyFont="1"/>
    <xf numFmtId="0" fontId="2" fillId="0" borderId="0" xfId="0" applyFont="1" applyAlignment="1">
      <alignment wrapText="1"/>
    </xf>
    <xf numFmtId="3" fontId="2" fillId="0" borderId="0" xfId="0" applyNumberFormat="1" applyFont="1"/>
    <xf numFmtId="164" fontId="2" fillId="0" borderId="0" xfId="0" applyNumberFormat="1" applyFont="1"/>
    <xf numFmtId="165" fontId="2" fillId="0" borderId="0" xfId="0" applyNumberFormat="1" applyFont="1"/>
    <xf numFmtId="0" fontId="6" fillId="0" borderId="1" xfId="0" applyFont="1" applyBorder="1"/>
    <xf numFmtId="164" fontId="7" fillId="0" borderId="21" xfId="0" applyNumberFormat="1" applyFont="1" applyBorder="1"/>
    <xf numFmtId="165" fontId="7" fillId="0" borderId="3" xfId="0" applyNumberFormat="1" applyFont="1" applyBorder="1"/>
    <xf numFmtId="165" fontId="7" fillId="0" borderId="22" xfId="0" applyNumberFormat="1" applyFont="1" applyBorder="1"/>
    <xf numFmtId="165" fontId="7" fillId="0" borderId="0" xfId="0" applyNumberFormat="1" applyFont="1"/>
    <xf numFmtId="164" fontId="7" fillId="0" borderId="1" xfId="0" applyNumberFormat="1" applyFont="1" applyBorder="1"/>
    <xf numFmtId="165" fontId="7" fillId="0" borderId="23" xfId="0" applyNumberFormat="1" applyFont="1" applyBorder="1"/>
    <xf numFmtId="164" fontId="7" fillId="0" borderId="16" xfId="0" applyNumberFormat="1" applyFont="1" applyBorder="1"/>
    <xf numFmtId="165" fontId="7" fillId="0" borderId="24" xfId="0" applyNumberFormat="1" applyFont="1" applyBorder="1"/>
    <xf numFmtId="0" fontId="2" fillId="2" borderId="27" xfId="0" applyFont="1" applyFill="1" applyBorder="1" applyAlignment="1">
      <alignment horizontal="left"/>
    </xf>
    <xf numFmtId="0" fontId="2" fillId="2" borderId="28" xfId="0" applyFont="1" applyFill="1" applyBorder="1" applyAlignment="1">
      <alignment wrapText="1"/>
    </xf>
    <xf numFmtId="3" fontId="2" fillId="2" borderId="28" xfId="0" applyNumberFormat="1" applyFont="1" applyFill="1" applyBorder="1"/>
    <xf numFmtId="0" fontId="0" fillId="2" borderId="0" xfId="0" applyFill="1"/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wrapText="1"/>
    </xf>
    <xf numFmtId="3" fontId="2" fillId="2" borderId="16" xfId="0" applyNumberFormat="1" applyFont="1" applyFill="1" applyBorder="1"/>
    <xf numFmtId="0" fontId="3" fillId="2" borderId="0" xfId="0" applyFont="1" applyFill="1"/>
    <xf numFmtId="0" fontId="8" fillId="2" borderId="6" xfId="0" applyFont="1" applyFill="1" applyBorder="1" applyAlignment="1">
      <alignment horizontal="left"/>
    </xf>
    <xf numFmtId="0" fontId="8" fillId="2" borderId="6" xfId="0" applyFont="1" applyFill="1" applyBorder="1"/>
    <xf numFmtId="3" fontId="8" fillId="2" borderId="6" xfId="0" applyNumberFormat="1" applyFont="1" applyFill="1" applyBorder="1"/>
    <xf numFmtId="165" fontId="7" fillId="2" borderId="6" xfId="0" applyNumberFormat="1" applyFont="1" applyFill="1" applyBorder="1"/>
    <xf numFmtId="165" fontId="7" fillId="2" borderId="30" xfId="0" applyNumberFormat="1" applyFont="1" applyFill="1" applyBorder="1"/>
    <xf numFmtId="0" fontId="10" fillId="2" borderId="0" xfId="0" applyFont="1" applyFill="1"/>
    <xf numFmtId="0" fontId="2" fillId="2" borderId="16" xfId="0" applyFont="1" applyFill="1" applyBorder="1" applyAlignment="1">
      <alignment horizontal="left"/>
    </xf>
    <xf numFmtId="0" fontId="2" fillId="2" borderId="16" xfId="0" applyFont="1" applyFill="1" applyBorder="1" applyAlignment="1">
      <alignment vertical="center" wrapText="1"/>
    </xf>
    <xf numFmtId="165" fontId="7" fillId="2" borderId="31" xfId="0" applyNumberFormat="1" applyFont="1" applyFill="1" applyBorder="1"/>
    <xf numFmtId="165" fontId="7" fillId="2" borderId="10" xfId="0" applyNumberFormat="1" applyFont="1" applyFill="1" applyBorder="1"/>
    <xf numFmtId="0" fontId="8" fillId="2" borderId="12" xfId="0" applyFont="1" applyFill="1" applyBorder="1" applyAlignment="1">
      <alignment horizontal="left"/>
    </xf>
    <xf numFmtId="0" fontId="8" fillId="2" borderId="6" xfId="0" applyFont="1" applyFill="1" applyBorder="1" applyAlignment="1">
      <alignment wrapText="1"/>
    </xf>
    <xf numFmtId="164" fontId="7" fillId="2" borderId="6" xfId="0" applyNumberFormat="1" applyFont="1" applyFill="1" applyBorder="1"/>
    <xf numFmtId="165" fontId="7" fillId="2" borderId="32" xfId="0" applyNumberFormat="1" applyFont="1" applyFill="1" applyBorder="1"/>
    <xf numFmtId="0" fontId="1" fillId="3" borderId="0" xfId="0" applyFont="1" applyFill="1"/>
    <xf numFmtId="0" fontId="2" fillId="4" borderId="17" xfId="0" applyFont="1" applyFill="1" applyBorder="1" applyAlignment="1">
      <alignment horizontal="left"/>
    </xf>
    <xf numFmtId="0" fontId="2" fillId="4" borderId="3" xfId="0" applyFont="1" applyFill="1" applyBorder="1" applyAlignment="1">
      <alignment wrapText="1"/>
    </xf>
    <xf numFmtId="3" fontId="2" fillId="4" borderId="3" xfId="0" applyNumberFormat="1" applyFont="1" applyFill="1" applyBorder="1"/>
    <xf numFmtId="164" fontId="7" fillId="4" borderId="21" xfId="0" applyNumberFormat="1" applyFont="1" applyFill="1" applyBorder="1"/>
    <xf numFmtId="165" fontId="7" fillId="4" borderId="3" xfId="0" applyNumberFormat="1" applyFont="1" applyFill="1" applyBorder="1"/>
    <xf numFmtId="165" fontId="7" fillId="4" borderId="22" xfId="0" applyNumberFormat="1" applyFont="1" applyFill="1" applyBorder="1"/>
    <xf numFmtId="0" fontId="1" fillId="4" borderId="0" xfId="0" applyFont="1" applyFill="1"/>
    <xf numFmtId="0" fontId="2" fillId="4" borderId="4" xfId="0" applyFont="1" applyFill="1" applyBorder="1" applyAlignment="1">
      <alignment horizontal="left"/>
    </xf>
    <xf numFmtId="0" fontId="2" fillId="4" borderId="1" xfId="0" applyFont="1" applyFill="1" applyBorder="1" applyAlignment="1">
      <alignment wrapText="1"/>
    </xf>
    <xf numFmtId="3" fontId="2" fillId="4" borderId="1" xfId="0" applyNumberFormat="1" applyFont="1" applyFill="1" applyBorder="1"/>
    <xf numFmtId="0" fontId="2" fillId="4" borderId="3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3" fontId="2" fillId="3" borderId="16" xfId="0" applyNumberFormat="1" applyFont="1" applyFill="1" applyBorder="1"/>
    <xf numFmtId="0" fontId="10" fillId="4" borderId="0" xfId="0" applyFont="1" applyFill="1"/>
    <xf numFmtId="0" fontId="11" fillId="0" borderId="0" xfId="0" applyFont="1"/>
    <xf numFmtId="0" fontId="8" fillId="4" borderId="4" xfId="0" applyFont="1" applyFill="1" applyBorder="1" applyAlignment="1">
      <alignment horizontal="left"/>
    </xf>
    <xf numFmtId="0" fontId="8" fillId="4" borderId="1" xfId="0" applyFont="1" applyFill="1" applyBorder="1" applyAlignment="1">
      <alignment wrapText="1"/>
    </xf>
    <xf numFmtId="3" fontId="8" fillId="4" borderId="1" xfId="0" applyNumberFormat="1" applyFont="1" applyFill="1" applyBorder="1"/>
    <xf numFmtId="0" fontId="14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vertical="distributed"/>
    </xf>
    <xf numFmtId="0" fontId="16" fillId="0" borderId="28" xfId="0" applyFont="1" applyBorder="1" applyAlignment="1">
      <alignment horizontal="center" vertical="center" textRotation="90" wrapText="1"/>
    </xf>
    <xf numFmtId="0" fontId="4" fillId="0" borderId="28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4" fontId="17" fillId="0" borderId="0" xfId="0" applyNumberFormat="1" applyFont="1" applyAlignment="1">
      <alignment horizontal="right" vertical="center"/>
    </xf>
    <xf numFmtId="4" fontId="19" fillId="5" borderId="34" xfId="0" applyNumberFormat="1" applyFont="1" applyFill="1" applyBorder="1"/>
    <xf numFmtId="0" fontId="19" fillId="0" borderId="0" xfId="0" applyFont="1" applyAlignment="1">
      <alignment horizontal="left" vertical="center"/>
    </xf>
    <xf numFmtId="4" fontId="19" fillId="0" borderId="0" xfId="0" applyNumberFormat="1" applyFont="1"/>
    <xf numFmtId="4" fontId="9" fillId="6" borderId="34" xfId="0" applyNumberFormat="1" applyFont="1" applyFill="1" applyBorder="1"/>
    <xf numFmtId="0" fontId="13" fillId="0" borderId="0" xfId="0" applyFont="1"/>
    <xf numFmtId="0" fontId="15" fillId="0" borderId="0" xfId="0" applyFont="1" applyAlignment="1">
      <alignment horizontal="left" vertical="center" wrapText="1"/>
    </xf>
    <xf numFmtId="4" fontId="9" fillId="0" borderId="0" xfId="0" applyNumberFormat="1" applyFont="1"/>
    <xf numFmtId="0" fontId="21" fillId="7" borderId="19" xfId="0" applyFont="1" applyFill="1" applyBorder="1" applyAlignment="1">
      <alignment wrapText="1"/>
    </xf>
    <xf numFmtId="4" fontId="12" fillId="7" borderId="18" xfId="0" applyNumberFormat="1" applyFont="1" applyFill="1" applyBorder="1"/>
    <xf numFmtId="0" fontId="9" fillId="0" borderId="0" xfId="0" applyFont="1"/>
    <xf numFmtId="4" fontId="12" fillId="7" borderId="35" xfId="0" applyNumberFormat="1" applyFont="1" applyFill="1" applyBorder="1"/>
    <xf numFmtId="0" fontId="1" fillId="0" borderId="36" xfId="0" applyFont="1" applyBorder="1"/>
    <xf numFmtId="4" fontId="12" fillId="7" borderId="17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vertical="center"/>
    </xf>
    <xf numFmtId="0" fontId="12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vertical="center"/>
    </xf>
    <xf numFmtId="0" fontId="2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5" fillId="0" borderId="0" xfId="0" applyFont="1" applyAlignment="1">
      <alignment vertical="distributed" wrapText="1"/>
    </xf>
    <xf numFmtId="0" fontId="9" fillId="0" borderId="0" xfId="0" applyFont="1" applyAlignment="1">
      <alignment vertical="distributed" wrapText="1"/>
    </xf>
    <xf numFmtId="0" fontId="21" fillId="0" borderId="0" xfId="0" applyFont="1"/>
    <xf numFmtId="0" fontId="21" fillId="7" borderId="37" xfId="0" applyFont="1" applyFill="1" applyBorder="1"/>
    <xf numFmtId="4" fontId="12" fillId="7" borderId="37" xfId="0" applyNumberFormat="1" applyFont="1" applyFill="1" applyBorder="1"/>
    <xf numFmtId="4" fontId="12" fillId="7" borderId="19" xfId="0" applyNumberFormat="1" applyFont="1" applyFill="1" applyBorder="1"/>
    <xf numFmtId="4" fontId="12" fillId="7" borderId="38" xfId="0" applyNumberFormat="1" applyFont="1" applyFill="1" applyBorder="1"/>
    <xf numFmtId="4" fontId="12" fillId="7" borderId="39" xfId="0" applyNumberFormat="1" applyFont="1" applyFill="1" applyBorder="1"/>
    <xf numFmtId="0" fontId="21" fillId="0" borderId="36" xfId="0" applyFont="1" applyBorder="1"/>
    <xf numFmtId="4" fontId="12" fillId="7" borderId="21" xfId="0" applyNumberFormat="1" applyFont="1" applyFill="1" applyBorder="1"/>
    <xf numFmtId="4" fontId="12" fillId="7" borderId="3" xfId="0" applyNumberFormat="1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/>
    <xf numFmtId="0" fontId="3" fillId="0" borderId="1" xfId="0" applyFont="1" applyBorder="1"/>
    <xf numFmtId="0" fontId="12" fillId="0" borderId="0" xfId="0" applyFont="1" applyAlignment="1">
      <alignment vertical="center"/>
    </xf>
    <xf numFmtId="49" fontId="3" fillId="0" borderId="1" xfId="0" applyNumberFormat="1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24" fillId="0" borderId="0" xfId="0" applyFont="1" applyAlignment="1">
      <alignment vertical="center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4" fontId="3" fillId="0" borderId="0" xfId="0" applyNumberFormat="1" applyFont="1"/>
    <xf numFmtId="49" fontId="12" fillId="0" borderId="0" xfId="0" applyNumberFormat="1" applyFont="1"/>
    <xf numFmtId="0" fontId="21" fillId="7" borderId="37" xfId="0" applyFont="1" applyFill="1" applyBorder="1" applyAlignment="1">
      <alignment horizontal="left" vertical="center"/>
    </xf>
    <xf numFmtId="49" fontId="12" fillId="0" borderId="36" xfId="0" applyNumberFormat="1" applyFont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9" fillId="0" borderId="0" xfId="0" applyFont="1"/>
    <xf numFmtId="0" fontId="21" fillId="7" borderId="37" xfId="0" applyFont="1" applyFill="1" applyBorder="1" applyAlignment="1">
      <alignment vertical="center"/>
    </xf>
    <xf numFmtId="0" fontId="12" fillId="0" borderId="36" xfId="0" applyFont="1" applyBorder="1"/>
    <xf numFmtId="4" fontId="12" fillId="7" borderId="3" xfId="0" applyNumberFormat="1" applyFont="1" applyFill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4" fontId="23" fillId="0" borderId="0" xfId="0" applyNumberFormat="1" applyFont="1" applyAlignment="1">
      <alignment vertical="center"/>
    </xf>
    <xf numFmtId="0" fontId="21" fillId="7" borderId="19" xfId="0" applyFont="1" applyFill="1" applyBorder="1"/>
    <xf numFmtId="4" fontId="11" fillId="7" borderId="18" xfId="0" applyNumberFormat="1" applyFont="1" applyFill="1" applyBorder="1"/>
    <xf numFmtId="0" fontId="12" fillId="0" borderId="0" xfId="0" applyFont="1" applyAlignment="1">
      <alignment horizontal="left" vertical="center"/>
    </xf>
    <xf numFmtId="0" fontId="22" fillId="7" borderId="39" xfId="0" applyFont="1" applyFill="1" applyBorder="1"/>
    <xf numFmtId="0" fontId="11" fillId="0" borderId="36" xfId="0" applyFont="1" applyBorder="1"/>
    <xf numFmtId="0" fontId="1" fillId="0" borderId="0" xfId="0" applyFont="1" applyAlignment="1">
      <alignment horizontal="center" vertical="center" wrapText="1"/>
    </xf>
    <xf numFmtId="4" fontId="12" fillId="7" borderId="17" xfId="0" applyNumberFormat="1" applyFont="1" applyFill="1" applyBorder="1"/>
    <xf numFmtId="0" fontId="3" fillId="0" borderId="0" xfId="0" applyFont="1" applyAlignment="1">
      <alignment horizontal="right"/>
    </xf>
    <xf numFmtId="0" fontId="2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25" fillId="0" borderId="0" xfId="0" applyFont="1" applyAlignment="1">
      <alignment horizontal="left"/>
    </xf>
    <xf numFmtId="4" fontId="26" fillId="0" borderId="0" xfId="0" applyNumberFormat="1" applyFont="1"/>
    <xf numFmtId="0" fontId="26" fillId="0" borderId="0" xfId="0" applyFont="1"/>
    <xf numFmtId="0" fontId="14" fillId="0" borderId="0" xfId="0" applyFont="1" applyAlignment="1">
      <alignment horizontal="left"/>
    </xf>
    <xf numFmtId="4" fontId="12" fillId="0" borderId="0" xfId="0" applyNumberFormat="1" applyFont="1"/>
    <xf numFmtId="0" fontId="3" fillId="7" borderId="18" xfId="0" applyFont="1" applyFill="1" applyBorder="1"/>
    <xf numFmtId="4" fontId="12" fillId="7" borderId="17" xfId="0" applyNumberFormat="1" applyFont="1" applyFill="1" applyBorder="1" applyAlignment="1">
      <alignment horizontal="right"/>
    </xf>
    <xf numFmtId="4" fontId="26" fillId="5" borderId="34" xfId="0" applyNumberFormat="1" applyFont="1" applyFill="1" applyBorder="1"/>
    <xf numFmtId="4" fontId="13" fillId="0" borderId="0" xfId="0" applyNumberFormat="1" applyFont="1"/>
    <xf numFmtId="0" fontId="27" fillId="0" borderId="0" xfId="0" applyFont="1"/>
    <xf numFmtId="0" fontId="11" fillId="0" borderId="0" xfId="0" applyFont="1" applyAlignment="1">
      <alignment horizontal="left"/>
    </xf>
    <xf numFmtId="0" fontId="21" fillId="7" borderId="19" xfId="0" applyFont="1" applyFill="1" applyBorder="1" applyAlignment="1">
      <alignment vertical="center" wrapText="1"/>
    </xf>
    <xf numFmtId="0" fontId="23" fillId="7" borderId="35" xfId="0" applyFont="1" applyFill="1" applyBorder="1"/>
    <xf numFmtId="4" fontId="11" fillId="7" borderId="35" xfId="0" applyNumberFormat="1" applyFont="1" applyFill="1" applyBorder="1"/>
    <xf numFmtId="0" fontId="2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4" fontId="21" fillId="7" borderId="35" xfId="0" applyNumberFormat="1" applyFont="1" applyFill="1" applyBorder="1"/>
    <xf numFmtId="0" fontId="25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 wrapText="1"/>
    </xf>
    <xf numFmtId="0" fontId="21" fillId="7" borderId="19" xfId="0" applyFont="1" applyFill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3" fillId="7" borderId="35" xfId="0" applyFont="1" applyFill="1" applyBorder="1"/>
    <xf numFmtId="4" fontId="9" fillId="5" borderId="34" xfId="0" applyNumberFormat="1" applyFont="1" applyFill="1" applyBorder="1"/>
    <xf numFmtId="0" fontId="25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4" fontId="23" fillId="0" borderId="0" xfId="0" applyNumberFormat="1" applyFont="1"/>
    <xf numFmtId="0" fontId="25" fillId="0" borderId="0" xfId="0" applyFont="1" applyAlignment="1">
      <alignment horizontal="left" vertical="center" wrapText="1"/>
    </xf>
    <xf numFmtId="4" fontId="13" fillId="6" borderId="34" xfId="0" applyNumberFormat="1" applyFont="1" applyFill="1" applyBorder="1"/>
    <xf numFmtId="0" fontId="12" fillId="0" borderId="0" xfId="0" applyFont="1" applyAlignment="1">
      <alignment horizontal="left"/>
    </xf>
    <xf numFmtId="4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 applyAlignment="1">
      <alignment wrapText="1"/>
    </xf>
    <xf numFmtId="0" fontId="1" fillId="0" borderId="3" xfId="0" applyFont="1" applyBorder="1" applyAlignment="1">
      <alignment vertical="center" wrapText="1"/>
    </xf>
    <xf numFmtId="0" fontId="18" fillId="0" borderId="0" xfId="0" applyFont="1"/>
    <xf numFmtId="0" fontId="15" fillId="0" borderId="0" xfId="0" applyFont="1"/>
    <xf numFmtId="0" fontId="0" fillId="0" borderId="0" xfId="0" applyAlignment="1">
      <alignment vertical="center"/>
    </xf>
    <xf numFmtId="0" fontId="24" fillId="0" borderId="0" xfId="0" applyFont="1"/>
    <xf numFmtId="0" fontId="21" fillId="0" borderId="0" xfId="0" applyFont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4" fontId="19" fillId="8" borderId="34" xfId="0" applyNumberFormat="1" applyFont="1" applyFill="1" applyBorder="1" applyAlignment="1">
      <alignment horizontal="right" vertical="center"/>
    </xf>
    <xf numFmtId="0" fontId="20" fillId="0" borderId="0" xfId="0" applyFont="1"/>
    <xf numFmtId="0" fontId="29" fillId="7" borderId="39" xfId="0" applyFont="1" applyFill="1" applyBorder="1" applyAlignment="1">
      <alignment vertical="center" wrapText="1"/>
    </xf>
    <xf numFmtId="0" fontId="29" fillId="7" borderId="39" xfId="0" applyFont="1" applyFill="1" applyBorder="1" applyAlignment="1">
      <alignment vertical="center"/>
    </xf>
    <xf numFmtId="0" fontId="29" fillId="7" borderId="39" xfId="0" applyFont="1" applyFill="1" applyBorder="1"/>
    <xf numFmtId="0" fontId="29" fillId="7" borderId="38" xfId="0" applyFont="1" applyFill="1" applyBorder="1"/>
    <xf numFmtId="0" fontId="29" fillId="7" borderId="38" xfId="0" applyFont="1" applyFill="1" applyBorder="1" applyAlignment="1">
      <alignment vertical="center"/>
    </xf>
    <xf numFmtId="0" fontId="29" fillId="7" borderId="38" xfId="0" applyFont="1" applyFill="1" applyBorder="1" applyAlignment="1">
      <alignment horizontal="left" vertical="center"/>
    </xf>
    <xf numFmtId="0" fontId="29" fillId="7" borderId="39" xfId="0" applyFont="1" applyFill="1" applyBorder="1" applyAlignment="1">
      <alignment wrapText="1"/>
    </xf>
    <xf numFmtId="0" fontId="3" fillId="0" borderId="0" xfId="0" applyFont="1" applyAlignment="1">
      <alignment horizontal="right" vertical="distributed"/>
    </xf>
    <xf numFmtId="165" fontId="1" fillId="0" borderId="0" xfId="0" applyNumberFormat="1" applyFont="1" applyAlignment="1">
      <alignment horizontal="right" vertical="center"/>
    </xf>
    <xf numFmtId="165" fontId="3" fillId="5" borderId="14" xfId="0" applyNumberFormat="1" applyFont="1" applyFill="1" applyBorder="1" applyAlignment="1">
      <alignment horizontal="right"/>
    </xf>
    <xf numFmtId="165" fontId="3" fillId="0" borderId="0" xfId="0" applyNumberFormat="1" applyFont="1" applyAlignment="1">
      <alignment horizontal="right"/>
    </xf>
    <xf numFmtId="165" fontId="3" fillId="6" borderId="14" xfId="0" applyNumberFormat="1" applyFont="1" applyFill="1" applyBorder="1" applyAlignment="1">
      <alignment horizontal="right"/>
    </xf>
    <xf numFmtId="165" fontId="3" fillId="7" borderId="18" xfId="0" applyNumberFormat="1" applyFont="1" applyFill="1" applyBorder="1"/>
    <xf numFmtId="165" fontId="3" fillId="7" borderId="35" xfId="0" applyNumberFormat="1" applyFont="1" applyFill="1" applyBorder="1"/>
    <xf numFmtId="165" fontId="3" fillId="0" borderId="1" xfId="0" applyNumberFormat="1" applyFont="1" applyBorder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3" fillId="7" borderId="19" xfId="0" applyNumberFormat="1" applyFont="1" applyFill="1" applyBorder="1"/>
    <xf numFmtId="165" fontId="3" fillId="7" borderId="39" xfId="0" applyNumberFormat="1" applyFont="1" applyFill="1" applyBorder="1"/>
    <xf numFmtId="0" fontId="3" fillId="0" borderId="0" xfId="0" applyFont="1" applyAlignment="1">
      <alignment horizontal="right" vertical="center" wrapText="1"/>
    </xf>
    <xf numFmtId="165" fontId="3" fillId="0" borderId="0" xfId="0" applyNumberFormat="1" applyFont="1"/>
    <xf numFmtId="165" fontId="3" fillId="7" borderId="18" xfId="0" applyNumberFormat="1" applyFont="1" applyFill="1" applyBorder="1" applyAlignment="1">
      <alignment wrapText="1"/>
    </xf>
    <xf numFmtId="165" fontId="3" fillId="7" borderId="35" xfId="0" applyNumberFormat="1" applyFont="1" applyFill="1" applyBorder="1" applyAlignment="1">
      <alignment wrapText="1"/>
    </xf>
    <xf numFmtId="0" fontId="3" fillId="7" borderId="35" xfId="0" applyFont="1" applyFill="1" applyBorder="1" applyAlignment="1">
      <alignment wrapText="1"/>
    </xf>
    <xf numFmtId="165" fontId="3" fillId="7" borderId="18" xfId="0" applyNumberFormat="1" applyFont="1" applyFill="1" applyBorder="1" applyAlignment="1">
      <alignment horizontal="right" wrapText="1"/>
    </xf>
    <xf numFmtId="165" fontId="3" fillId="7" borderId="35" xfId="0" applyNumberFormat="1" applyFont="1" applyFill="1" applyBorder="1" applyAlignment="1">
      <alignment horizontal="right" wrapText="1"/>
    </xf>
    <xf numFmtId="0" fontId="3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distributed"/>
    </xf>
    <xf numFmtId="165" fontId="14" fillId="0" borderId="14" xfId="0" applyNumberFormat="1" applyFont="1" applyBorder="1" applyAlignment="1">
      <alignment horizontal="right" vertical="center"/>
    </xf>
    <xf numFmtId="165" fontId="12" fillId="8" borderId="14" xfId="0" applyNumberFormat="1" applyFont="1" applyFill="1" applyBorder="1" applyAlignment="1">
      <alignment horizontal="right" vertical="center"/>
    </xf>
    <xf numFmtId="0" fontId="24" fillId="7" borderId="21" xfId="0" applyFont="1" applyFill="1" applyBorder="1" applyAlignment="1">
      <alignment horizontal="left" vertical="center"/>
    </xf>
    <xf numFmtId="0" fontId="24" fillId="7" borderId="3" xfId="0" applyFont="1" applyFill="1" applyBorder="1"/>
    <xf numFmtId="0" fontId="24" fillId="7" borderId="3" xfId="0" applyFont="1" applyFill="1" applyBorder="1" applyAlignment="1">
      <alignment wrapText="1"/>
    </xf>
    <xf numFmtId="0" fontId="7" fillId="0" borderId="16" xfId="0" applyFont="1" applyBorder="1"/>
    <xf numFmtId="0" fontId="24" fillId="7" borderId="21" xfId="0" applyFont="1" applyFill="1" applyBorder="1" applyAlignment="1">
      <alignment vertical="center"/>
    </xf>
    <xf numFmtId="0" fontId="24" fillId="7" borderId="21" xfId="0" applyFont="1" applyFill="1" applyBorder="1"/>
    <xf numFmtId="0" fontId="24" fillId="7" borderId="3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19" fillId="8" borderId="34" xfId="0" applyNumberFormat="1" applyFont="1" applyFill="1" applyBorder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3" fontId="12" fillId="7" borderId="17" xfId="0" applyNumberFormat="1" applyFont="1" applyFill="1" applyBorder="1" applyAlignment="1">
      <alignment horizontal="right"/>
    </xf>
    <xf numFmtId="3" fontId="9" fillId="5" borderId="34" xfId="0" applyNumberFormat="1" applyFont="1" applyFill="1" applyBorder="1" applyAlignment="1">
      <alignment horizontal="right"/>
    </xf>
    <xf numFmtId="3" fontId="19" fillId="0" borderId="0" xfId="0" applyNumberFormat="1" applyFont="1" applyAlignment="1">
      <alignment horizontal="right"/>
    </xf>
    <xf numFmtId="3" fontId="9" fillId="6" borderId="34" xfId="0" applyNumberFormat="1" applyFont="1" applyFill="1" applyBorder="1" applyAlignment="1">
      <alignment horizontal="right"/>
    </xf>
    <xf numFmtId="3" fontId="9" fillId="0" borderId="0" xfId="0" applyNumberFormat="1" applyFont="1" applyAlignment="1">
      <alignment horizontal="right"/>
    </xf>
    <xf numFmtId="3" fontId="12" fillId="7" borderId="18" xfId="0" applyNumberFormat="1" applyFont="1" applyFill="1" applyBorder="1" applyAlignment="1">
      <alignment horizontal="right"/>
    </xf>
    <xf numFmtId="3" fontId="12" fillId="7" borderId="35" xfId="0" applyNumberFormat="1" applyFont="1" applyFill="1" applyBorder="1" applyAlignment="1">
      <alignment horizontal="right"/>
    </xf>
    <xf numFmtId="3" fontId="12" fillId="7" borderId="17" xfId="0" applyNumberFormat="1" applyFont="1" applyFill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3" fontId="19" fillId="5" borderId="34" xfId="0" applyNumberFormat="1" applyFont="1" applyFill="1" applyBorder="1" applyAlignment="1">
      <alignment horizontal="right"/>
    </xf>
    <xf numFmtId="3" fontId="12" fillId="7" borderId="19" xfId="0" applyNumberFormat="1" applyFont="1" applyFill="1" applyBorder="1" applyAlignment="1">
      <alignment horizontal="right"/>
    </xf>
    <xf numFmtId="3" fontId="12" fillId="7" borderId="39" xfId="0" applyNumberFormat="1" applyFont="1" applyFill="1" applyBorder="1" applyAlignment="1">
      <alignment horizontal="right"/>
    </xf>
    <xf numFmtId="3" fontId="12" fillId="7" borderId="2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12" fillId="7" borderId="3" xfId="0" applyNumberFormat="1" applyFont="1" applyFill="1" applyBorder="1" applyAlignment="1">
      <alignment horizontal="right"/>
    </xf>
    <xf numFmtId="3" fontId="10" fillId="0" borderId="1" xfId="0" applyNumberFormat="1" applyFont="1" applyBorder="1" applyAlignment="1">
      <alignment horizontal="right" vertical="center"/>
    </xf>
    <xf numFmtId="3" fontId="12" fillId="7" borderId="3" xfId="0" applyNumberFormat="1" applyFont="1" applyFill="1" applyBorder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3" fontId="11" fillId="7" borderId="18" xfId="0" applyNumberFormat="1" applyFont="1" applyFill="1" applyBorder="1" applyAlignment="1">
      <alignment horizontal="right"/>
    </xf>
    <xf numFmtId="3" fontId="1" fillId="0" borderId="0" xfId="0" applyNumberFormat="1" applyFont="1" applyAlignment="1">
      <alignment horizontal="right" vertical="center" wrapText="1"/>
    </xf>
    <xf numFmtId="3" fontId="26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right"/>
    </xf>
    <xf numFmtId="3" fontId="3" fillId="7" borderId="18" xfId="0" applyNumberFormat="1" applyFont="1" applyFill="1" applyBorder="1" applyAlignment="1">
      <alignment horizontal="right"/>
    </xf>
    <xf numFmtId="3" fontId="26" fillId="5" borderId="34" xfId="0" applyNumberFormat="1" applyFont="1" applyFill="1" applyBorder="1" applyAlignment="1">
      <alignment horizontal="right"/>
    </xf>
    <xf numFmtId="3" fontId="13" fillId="0" borderId="0" xfId="0" applyNumberFormat="1" applyFont="1" applyAlignment="1">
      <alignment horizontal="right"/>
    </xf>
    <xf numFmtId="3" fontId="23" fillId="7" borderId="35" xfId="0" applyNumberFormat="1" applyFont="1" applyFill="1" applyBorder="1" applyAlignment="1">
      <alignment horizontal="right"/>
    </xf>
    <xf numFmtId="3" fontId="11" fillId="7" borderId="35" xfId="0" applyNumberFormat="1" applyFont="1" applyFill="1" applyBorder="1" applyAlignment="1">
      <alignment horizontal="right"/>
    </xf>
    <xf numFmtId="3" fontId="21" fillId="7" borderId="35" xfId="0" applyNumberFormat="1" applyFont="1" applyFill="1" applyBorder="1" applyAlignment="1">
      <alignment horizontal="right"/>
    </xf>
    <xf numFmtId="4" fontId="12" fillId="7" borderId="35" xfId="0" applyNumberFormat="1" applyFont="1" applyFill="1" applyBorder="1" applyAlignment="1">
      <alignment horizontal="right"/>
    </xf>
    <xf numFmtId="3" fontId="3" fillId="7" borderId="35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3" fontId="13" fillId="6" borderId="3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4" fontId="26" fillId="0" borderId="34" xfId="0" applyNumberFormat="1" applyFont="1" applyBorder="1" applyAlignment="1">
      <alignment horizontal="center" vertical="center"/>
    </xf>
    <xf numFmtId="3" fontId="26" fillId="0" borderId="3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4" fillId="0" borderId="28" xfId="0" applyNumberFormat="1" applyFont="1" applyBorder="1" applyAlignment="1">
      <alignment horizontal="center" vertical="center" wrapText="1"/>
    </xf>
    <xf numFmtId="3" fontId="8" fillId="0" borderId="31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distributed"/>
    </xf>
    <xf numFmtId="3" fontId="12" fillId="7" borderId="42" xfId="0" applyNumberFormat="1" applyFont="1" applyFill="1" applyBorder="1" applyAlignment="1">
      <alignment horizontal="right"/>
    </xf>
    <xf numFmtId="3" fontId="12" fillId="7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 vertical="center"/>
    </xf>
    <xf numFmtId="3" fontId="12" fillId="7" borderId="37" xfId="0" applyNumberFormat="1" applyFont="1" applyFill="1" applyBorder="1" applyAlignment="1">
      <alignment horizontal="right"/>
    </xf>
    <xf numFmtId="3" fontId="12" fillId="7" borderId="38" xfId="0" applyNumberFormat="1" applyFont="1" applyFill="1" applyBorder="1" applyAlignment="1">
      <alignment horizontal="right"/>
    </xf>
    <xf numFmtId="3" fontId="12" fillId="7" borderId="36" xfId="0" applyNumberFormat="1" applyFont="1" applyFill="1" applyBorder="1" applyAlignment="1">
      <alignment horizontal="right" vertical="center"/>
    </xf>
    <xf numFmtId="165" fontId="3" fillId="0" borderId="3" xfId="0" applyNumberFormat="1" applyFont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 vertical="center"/>
    </xf>
    <xf numFmtId="165" fontId="3" fillId="7" borderId="3" xfId="0" applyNumberFormat="1" applyFont="1" applyFill="1" applyBorder="1" applyAlignment="1">
      <alignment horizontal="right"/>
    </xf>
    <xf numFmtId="0" fontId="7" fillId="0" borderId="43" xfId="0" applyFont="1" applyBorder="1" applyAlignment="1">
      <alignment vertical="center" wrapText="1"/>
    </xf>
    <xf numFmtId="0" fontId="8" fillId="0" borderId="4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3" fillId="0" borderId="36" xfId="0" applyFont="1" applyBorder="1" applyAlignment="1">
      <alignment vertical="center" wrapText="1"/>
    </xf>
    <xf numFmtId="4" fontId="3" fillId="0" borderId="36" xfId="0" applyNumberFormat="1" applyFont="1" applyBorder="1" applyAlignment="1">
      <alignment vertical="center"/>
    </xf>
    <xf numFmtId="3" fontId="3" fillId="0" borderId="36" xfId="0" applyNumberFormat="1" applyFont="1" applyBorder="1" applyAlignment="1">
      <alignment horizontal="right" vertical="center"/>
    </xf>
    <xf numFmtId="165" fontId="3" fillId="0" borderId="36" xfId="0" applyNumberFormat="1" applyFont="1" applyBorder="1" applyAlignment="1">
      <alignment horizontal="right" vertical="center"/>
    </xf>
    <xf numFmtId="0" fontId="6" fillId="0" borderId="29" xfId="0" applyFont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164" fontId="7" fillId="0" borderId="2" xfId="0" applyNumberFormat="1" applyFont="1" applyBorder="1"/>
    <xf numFmtId="164" fontId="7" fillId="3" borderId="25" xfId="0" applyNumberFormat="1" applyFont="1" applyFill="1" applyBorder="1"/>
    <xf numFmtId="164" fontId="7" fillId="3" borderId="24" xfId="0" applyNumberFormat="1" applyFont="1" applyFill="1" applyBorder="1"/>
    <xf numFmtId="3" fontId="8" fillId="3" borderId="16" xfId="0" applyNumberFormat="1" applyFont="1" applyFill="1" applyBorder="1"/>
    <xf numFmtId="0" fontId="2" fillId="0" borderId="17" xfId="0" applyFont="1" applyBorder="1" applyAlignment="1">
      <alignment horizontal="left"/>
    </xf>
    <xf numFmtId="0" fontId="2" fillId="0" borderId="3" xfId="0" applyFont="1" applyBorder="1" applyAlignment="1">
      <alignment wrapText="1"/>
    </xf>
    <xf numFmtId="3" fontId="2" fillId="0" borderId="3" xfId="0" applyNumberFormat="1" applyFont="1" applyBorder="1"/>
    <xf numFmtId="0" fontId="8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5" xfId="0" applyFont="1" applyBorder="1"/>
    <xf numFmtId="0" fontId="2" fillId="0" borderId="16" xfId="0" applyFont="1" applyBorder="1"/>
    <xf numFmtId="3" fontId="2" fillId="0" borderId="16" xfId="0" applyNumberFormat="1" applyFont="1" applyBorder="1"/>
    <xf numFmtId="3" fontId="7" fillId="0" borderId="16" xfId="0" applyNumberFormat="1" applyFont="1" applyBorder="1"/>
    <xf numFmtId="0" fontId="2" fillId="0" borderId="17" xfId="0" applyFont="1" applyBorder="1"/>
    <xf numFmtId="0" fontId="2" fillId="0" borderId="3" xfId="0" applyFont="1" applyBorder="1"/>
    <xf numFmtId="3" fontId="7" fillId="0" borderId="3" xfId="0" applyNumberFormat="1" applyFont="1" applyBorder="1"/>
    <xf numFmtId="49" fontId="7" fillId="0" borderId="20" xfId="0" applyNumberFormat="1" applyFont="1" applyBorder="1"/>
    <xf numFmtId="49" fontId="7" fillId="0" borderId="1" xfId="0" applyNumberFormat="1" applyFont="1" applyBorder="1"/>
    <xf numFmtId="49" fontId="7" fillId="0" borderId="26" xfId="0" applyNumberFormat="1" applyFont="1" applyBorder="1"/>
    <xf numFmtId="49" fontId="7" fillId="0" borderId="16" xfId="0" applyNumberFormat="1" applyFont="1" applyBorder="1"/>
    <xf numFmtId="49" fontId="7" fillId="0" borderId="45" xfId="0" applyNumberFormat="1" applyFont="1" applyBorder="1"/>
    <xf numFmtId="49" fontId="7" fillId="0" borderId="3" xfId="0" applyNumberFormat="1" applyFont="1" applyBorder="1"/>
    <xf numFmtId="49" fontId="7" fillId="3" borderId="26" xfId="0" applyNumberFormat="1" applyFont="1" applyFill="1" applyBorder="1"/>
    <xf numFmtId="49" fontId="7" fillId="3" borderId="16" xfId="0" applyNumberFormat="1" applyFont="1" applyFill="1" applyBorder="1"/>
    <xf numFmtId="49" fontId="7" fillId="0" borderId="0" xfId="0" applyNumberFormat="1" applyFont="1"/>
    <xf numFmtId="49" fontId="7" fillId="2" borderId="28" xfId="0" applyNumberFormat="1" applyFont="1" applyFill="1" applyBorder="1"/>
    <xf numFmtId="49" fontId="7" fillId="4" borderId="3" xfId="0" applyNumberFormat="1" applyFont="1" applyFill="1" applyBorder="1"/>
    <xf numFmtId="49" fontId="7" fillId="4" borderId="1" xfId="0" applyNumberFormat="1" applyFont="1" applyFill="1" applyBorder="1"/>
    <xf numFmtId="49" fontId="7" fillId="2" borderId="16" xfId="0" applyNumberFormat="1" applyFont="1" applyFill="1" applyBorder="1"/>
    <xf numFmtId="49" fontId="7" fillId="2" borderId="6" xfId="0" applyNumberFormat="1" applyFont="1" applyFill="1" applyBorder="1"/>
    <xf numFmtId="49" fontId="8" fillId="0" borderId="1" xfId="0" applyNumberFormat="1" applyFont="1" applyBorder="1"/>
    <xf numFmtId="164" fontId="7" fillId="0" borderId="0" xfId="0" applyNumberFormat="1" applyFont="1"/>
    <xf numFmtId="49" fontId="7" fillId="0" borderId="19" xfId="0" applyNumberFormat="1" applyFont="1" applyBorder="1"/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wrapText="1"/>
    </xf>
    <xf numFmtId="3" fontId="6" fillId="0" borderId="19" xfId="0" applyNumberFormat="1" applyFont="1" applyBorder="1"/>
    <xf numFmtId="0" fontId="24" fillId="0" borderId="1" xfId="0" applyFont="1" applyBorder="1" applyAlignment="1">
      <alignment horizontal="left"/>
    </xf>
    <xf numFmtId="0" fontId="21" fillId="0" borderId="20" xfId="0" applyFont="1" applyBorder="1"/>
    <xf numFmtId="0" fontId="21" fillId="0" borderId="47" xfId="0" applyFont="1" applyBorder="1"/>
    <xf numFmtId="0" fontId="21" fillId="0" borderId="20" xfId="0" applyFont="1" applyBorder="1" applyAlignment="1">
      <alignment horizontal="left"/>
    </xf>
    <xf numFmtId="0" fontId="24" fillId="0" borderId="20" xfId="0" applyFont="1" applyBorder="1"/>
    <xf numFmtId="0" fontId="21" fillId="0" borderId="0" xfId="0" applyFont="1" applyAlignment="1">
      <alignment horizontal="center" vertical="center"/>
    </xf>
    <xf numFmtId="49" fontId="24" fillId="0" borderId="45" xfId="0" applyNumberFormat="1" applyFont="1" applyBorder="1"/>
    <xf numFmtId="4" fontId="21" fillId="0" borderId="19" xfId="0" applyNumberFormat="1" applyFont="1" applyBorder="1"/>
    <xf numFmtId="4" fontId="24" fillId="0" borderId="1" xfId="0" applyNumberFormat="1" applyFont="1" applyBorder="1"/>
    <xf numFmtId="4" fontId="21" fillId="0" borderId="1" xfId="0" applyNumberFormat="1" applyFont="1" applyBorder="1"/>
    <xf numFmtId="0" fontId="24" fillId="0" borderId="1" xfId="0" applyFont="1" applyBorder="1"/>
    <xf numFmtId="0" fontId="24" fillId="0" borderId="1" xfId="0" applyFont="1" applyBorder="1" applyAlignment="1">
      <alignment wrapText="1"/>
    </xf>
    <xf numFmtId="0" fontId="21" fillId="0" borderId="1" xfId="0" applyFont="1" applyBorder="1"/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wrapText="1"/>
    </xf>
    <xf numFmtId="0" fontId="24" fillId="0" borderId="3" xfId="0" applyFont="1" applyBorder="1" applyAlignment="1">
      <alignment wrapText="1"/>
    </xf>
    <xf numFmtId="0" fontId="21" fillId="0" borderId="19" xfId="0" applyFont="1" applyBorder="1" applyAlignment="1">
      <alignment wrapText="1"/>
    </xf>
    <xf numFmtId="49" fontId="21" fillId="0" borderId="20" xfId="0" applyNumberFormat="1" applyFont="1" applyBorder="1"/>
    <xf numFmtId="4" fontId="21" fillId="0" borderId="39" xfId="0" applyNumberFormat="1" applyFont="1" applyBorder="1"/>
    <xf numFmtId="4" fontId="21" fillId="0" borderId="3" xfId="0" applyNumberFormat="1" applyFont="1" applyBorder="1"/>
    <xf numFmtId="0" fontId="21" fillId="0" borderId="19" xfId="0" applyFont="1" applyBorder="1"/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24" fillId="0" borderId="3" xfId="0" applyFont="1" applyBorder="1"/>
    <xf numFmtId="4" fontId="21" fillId="0" borderId="4" xfId="0" applyNumberFormat="1" applyFont="1" applyBorder="1"/>
    <xf numFmtId="165" fontId="21" fillId="0" borderId="1" xfId="0" applyNumberFormat="1" applyFont="1" applyBorder="1" applyAlignment="1">
      <alignment horizontal="right"/>
    </xf>
    <xf numFmtId="4" fontId="24" fillId="0" borderId="3" xfId="0" applyNumberFormat="1" applyFont="1" applyBorder="1"/>
    <xf numFmtId="165" fontId="21" fillId="0" borderId="39" xfId="0" applyNumberFormat="1" applyFont="1" applyBorder="1" applyAlignment="1">
      <alignment horizontal="right" wrapText="1"/>
    </xf>
    <xf numFmtId="165" fontId="21" fillId="0" borderId="19" xfId="0" applyNumberFormat="1" applyFont="1" applyBorder="1" applyAlignment="1">
      <alignment horizontal="right"/>
    </xf>
    <xf numFmtId="165" fontId="21" fillId="0" borderId="39" xfId="0" applyNumberFormat="1" applyFont="1" applyBorder="1" applyAlignment="1">
      <alignment horizontal="right"/>
    </xf>
    <xf numFmtId="165" fontId="21" fillId="0" borderId="3" xfId="0" applyNumberFormat="1" applyFont="1" applyBorder="1" applyAlignment="1">
      <alignment horizontal="right"/>
    </xf>
    <xf numFmtId="4" fontId="21" fillId="0" borderId="17" xfId="0" applyNumberFormat="1" applyFont="1" applyBorder="1"/>
    <xf numFmtId="0" fontId="21" fillId="0" borderId="48" xfId="0" applyFont="1" applyBorder="1" applyAlignment="1">
      <alignment horizontal="left"/>
    </xf>
    <xf numFmtId="0" fontId="21" fillId="0" borderId="48" xfId="0" applyFont="1" applyBorder="1" applyAlignment="1">
      <alignment wrapText="1"/>
    </xf>
    <xf numFmtId="4" fontId="21" fillId="0" borderId="48" xfId="0" applyNumberFormat="1" applyFont="1" applyBorder="1"/>
    <xf numFmtId="165" fontId="21" fillId="0" borderId="48" xfId="0" applyNumberFormat="1" applyFont="1" applyBorder="1" applyAlignment="1">
      <alignment horizontal="right"/>
    </xf>
    <xf numFmtId="0" fontId="0" fillId="0" borderId="49" xfId="0" applyBorder="1"/>
    <xf numFmtId="0" fontId="24" fillId="0" borderId="3" xfId="0" applyFont="1" applyBorder="1" applyAlignment="1">
      <alignment horizontal="left"/>
    </xf>
    <xf numFmtId="0" fontId="4" fillId="0" borderId="7" xfId="0" applyFont="1" applyBorder="1"/>
    <xf numFmtId="4" fontId="21" fillId="0" borderId="12" xfId="0" applyNumberFormat="1" applyFont="1" applyBorder="1"/>
    <xf numFmtId="4" fontId="21" fillId="0" borderId="50" xfId="0" applyNumberFormat="1" applyFont="1" applyBorder="1"/>
    <xf numFmtId="0" fontId="21" fillId="0" borderId="39" xfId="0" applyFont="1" applyBorder="1"/>
    <xf numFmtId="0" fontId="21" fillId="0" borderId="39" xfId="0" applyFont="1" applyBorder="1" applyAlignment="1">
      <alignment wrapText="1"/>
    </xf>
    <xf numFmtId="0" fontId="21" fillId="0" borderId="39" xfId="0" applyFont="1" applyBorder="1" applyAlignment="1">
      <alignment vertical="distributed" wrapText="1"/>
    </xf>
    <xf numFmtId="0" fontId="21" fillId="0" borderId="19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/>
    </xf>
    <xf numFmtId="4" fontId="17" fillId="9" borderId="28" xfId="0" applyNumberFormat="1" applyFont="1" applyFill="1" applyBorder="1" applyAlignment="1">
      <alignment horizontal="right" vertical="center"/>
    </xf>
    <xf numFmtId="0" fontId="4" fillId="0" borderId="51" xfId="0" applyFont="1" applyBorder="1"/>
    <xf numFmtId="165" fontId="21" fillId="0" borderId="52" xfId="0" applyNumberFormat="1" applyFont="1" applyBorder="1" applyAlignment="1">
      <alignment horizontal="right"/>
    </xf>
    <xf numFmtId="165" fontId="21" fillId="0" borderId="23" xfId="0" applyNumberFormat="1" applyFont="1" applyBorder="1" applyAlignment="1">
      <alignment horizontal="right"/>
    </xf>
    <xf numFmtId="49" fontId="24" fillId="0" borderId="20" xfId="0" applyNumberFormat="1" applyFont="1" applyBorder="1"/>
    <xf numFmtId="49" fontId="21" fillId="0" borderId="53" xfId="0" applyNumberFormat="1" applyFont="1" applyBorder="1"/>
    <xf numFmtId="165" fontId="21" fillId="0" borderId="54" xfId="0" applyNumberFormat="1" applyFont="1" applyBorder="1" applyAlignment="1">
      <alignment horizontal="right"/>
    </xf>
    <xf numFmtId="0" fontId="21" fillId="0" borderId="53" xfId="0" applyFont="1" applyBorder="1"/>
    <xf numFmtId="165" fontId="21" fillId="0" borderId="55" xfId="0" applyNumberFormat="1" applyFont="1" applyBorder="1" applyAlignment="1">
      <alignment horizontal="right"/>
    </xf>
    <xf numFmtId="165" fontId="21" fillId="0" borderId="56" xfId="0" applyNumberFormat="1" applyFont="1" applyBorder="1" applyAlignment="1">
      <alignment horizontal="right" wrapText="1"/>
    </xf>
    <xf numFmtId="165" fontId="21" fillId="0" borderId="56" xfId="0" applyNumberFormat="1" applyFont="1" applyBorder="1" applyAlignment="1">
      <alignment horizontal="right"/>
    </xf>
    <xf numFmtId="0" fontId="4" fillId="0" borderId="57" xfId="0" applyFont="1" applyBorder="1"/>
    <xf numFmtId="0" fontId="21" fillId="0" borderId="53" xfId="0" applyFont="1" applyBorder="1" applyAlignment="1">
      <alignment horizontal="left"/>
    </xf>
    <xf numFmtId="0" fontId="21" fillId="0" borderId="48" xfId="0" applyFont="1" applyBorder="1" applyAlignment="1">
      <alignment horizontal="left" vertical="center" wrapText="1"/>
    </xf>
    <xf numFmtId="0" fontId="21" fillId="0" borderId="50" xfId="0" applyFont="1" applyBorder="1"/>
    <xf numFmtId="0" fontId="21" fillId="0" borderId="31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21" fillId="0" borderId="61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left"/>
    </xf>
    <xf numFmtId="4" fontId="17" fillId="10" borderId="28" xfId="0" applyNumberFormat="1" applyFont="1" applyFill="1" applyBorder="1"/>
    <xf numFmtId="0" fontId="17" fillId="10" borderId="0" xfId="0" applyFont="1" applyFill="1"/>
    <xf numFmtId="165" fontId="18" fillId="10" borderId="28" xfId="0" applyNumberFormat="1" applyFont="1" applyFill="1" applyBorder="1" applyAlignment="1">
      <alignment horizontal="right"/>
    </xf>
    <xf numFmtId="165" fontId="18" fillId="10" borderId="44" xfId="0" applyNumberFormat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4" fontId="17" fillId="11" borderId="31" xfId="0" applyNumberFormat="1" applyFont="1" applyFill="1" applyBorder="1" applyAlignment="1">
      <alignment vertical="center"/>
    </xf>
    <xf numFmtId="0" fontId="17" fillId="11" borderId="0" xfId="0" applyFont="1" applyFill="1" applyAlignment="1">
      <alignment vertical="center"/>
    </xf>
    <xf numFmtId="0" fontId="9" fillId="0" borderId="62" xfId="0" applyFont="1" applyBorder="1"/>
    <xf numFmtId="0" fontId="9" fillId="0" borderId="36" xfId="0" applyFont="1" applyBorder="1"/>
    <xf numFmtId="0" fontId="9" fillId="0" borderId="3" xfId="0" applyFont="1" applyBorder="1"/>
    <xf numFmtId="4" fontId="9" fillId="0" borderId="4" xfId="0" applyNumberFormat="1" applyFont="1" applyBorder="1"/>
    <xf numFmtId="4" fontId="9" fillId="0" borderId="3" xfId="0" applyNumberFormat="1" applyFont="1" applyBorder="1"/>
    <xf numFmtId="0" fontId="9" fillId="0" borderId="51" xfId="0" applyFont="1" applyBorder="1"/>
    <xf numFmtId="4" fontId="9" fillId="0" borderId="1" xfId="0" applyNumberFormat="1" applyFont="1" applyBorder="1"/>
    <xf numFmtId="4" fontId="15" fillId="0" borderId="3" xfId="0" applyNumberFormat="1" applyFont="1" applyBorder="1" applyAlignment="1">
      <alignment horizontal="right"/>
    </xf>
    <xf numFmtId="4" fontId="15" fillId="0" borderId="52" xfId="0" applyNumberFormat="1" applyFont="1" applyBorder="1" applyAlignment="1">
      <alignment horizontal="right"/>
    </xf>
    <xf numFmtId="0" fontId="9" fillId="0" borderId="3" xfId="0" applyFont="1" applyBorder="1" applyAlignment="1">
      <alignment horizontal="left" vertical="distributed" wrapText="1"/>
    </xf>
    <xf numFmtId="4" fontId="9" fillId="0" borderId="39" xfId="0" applyNumberFormat="1" applyFont="1" applyBorder="1"/>
    <xf numFmtId="0" fontId="9" fillId="0" borderId="3" xfId="0" applyFont="1" applyBorder="1" applyAlignment="1">
      <alignment wrapText="1"/>
    </xf>
    <xf numFmtId="0" fontId="4" fillId="0" borderId="63" xfId="0" applyFont="1" applyBorder="1" applyAlignment="1">
      <alignment horizontal="center" vertical="center" wrapText="1"/>
    </xf>
    <xf numFmtId="0" fontId="21" fillId="0" borderId="64" xfId="0" applyFont="1" applyBorder="1"/>
    <xf numFmtId="0" fontId="21" fillId="0" borderId="65" xfId="0" applyFont="1" applyBorder="1" applyAlignment="1">
      <alignment horizontal="left"/>
    </xf>
    <xf numFmtId="0" fontId="21" fillId="0" borderId="65" xfId="0" applyFont="1" applyBorder="1" applyAlignment="1">
      <alignment wrapText="1"/>
    </xf>
    <xf numFmtId="4" fontId="21" fillId="0" borderId="65" xfId="0" applyNumberFormat="1" applyFont="1" applyBorder="1"/>
    <xf numFmtId="0" fontId="21" fillId="0" borderId="0" xfId="0" applyFont="1" applyAlignment="1">
      <alignment shrinkToFit="1"/>
    </xf>
    <xf numFmtId="0" fontId="21" fillId="0" borderId="9" xfId="0" applyFont="1" applyBorder="1" applyAlignment="1">
      <alignment shrinkToFit="1"/>
    </xf>
    <xf numFmtId="0" fontId="18" fillId="0" borderId="61" xfId="0" applyFont="1" applyBorder="1" applyAlignment="1">
      <alignment horizontal="center" vertical="center" wrapText="1"/>
    </xf>
    <xf numFmtId="49" fontId="7" fillId="0" borderId="16" xfId="0" applyNumberFormat="1" applyFont="1" applyBorder="1" applyAlignment="1">
      <alignment vertical="center"/>
    </xf>
    <xf numFmtId="0" fontId="6" fillId="0" borderId="16" xfId="0" applyFont="1" applyBorder="1" applyAlignment="1">
      <alignment horizontal="left" vertical="center"/>
    </xf>
    <xf numFmtId="0" fontId="6" fillId="0" borderId="16" xfId="0" applyFont="1" applyBorder="1" applyAlignment="1">
      <alignment vertical="center" wrapText="1"/>
    </xf>
    <xf numFmtId="3" fontId="6" fillId="0" borderId="16" xfId="0" applyNumberFormat="1" applyFont="1" applyBorder="1" applyAlignment="1">
      <alignment vertical="center"/>
    </xf>
    <xf numFmtId="165" fontId="7" fillId="0" borderId="31" xfId="0" applyNumberFormat="1" applyFont="1" applyBorder="1" applyAlignment="1">
      <alignment vertical="center"/>
    </xf>
    <xf numFmtId="165" fontId="7" fillId="0" borderId="10" xfId="0" applyNumberFormat="1" applyFont="1" applyBorder="1" applyAlignment="1">
      <alignment vertical="center"/>
    </xf>
    <xf numFmtId="165" fontId="21" fillId="0" borderId="65" xfId="0" applyNumberFormat="1" applyFont="1" applyBorder="1" applyAlignment="1">
      <alignment horizontal="right"/>
    </xf>
    <xf numFmtId="165" fontId="21" fillId="0" borderId="66" xfId="0" applyNumberFormat="1" applyFont="1" applyBorder="1" applyAlignment="1">
      <alignment horizontal="right"/>
    </xf>
    <xf numFmtId="0" fontId="24" fillId="0" borderId="45" xfId="0" applyFont="1" applyBorder="1"/>
    <xf numFmtId="0" fontId="24" fillId="10" borderId="0" xfId="0" applyFont="1" applyFill="1"/>
    <xf numFmtId="0" fontId="4" fillId="0" borderId="61" xfId="0" applyFont="1" applyBorder="1" applyAlignment="1">
      <alignment horizontal="center" vertical="center" textRotation="90"/>
    </xf>
    <xf numFmtId="0" fontId="21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4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65" xfId="0" applyFont="1" applyBorder="1" applyAlignment="1">
      <alignment horizontal="center" vertical="center"/>
    </xf>
    <xf numFmtId="49" fontId="21" fillId="0" borderId="47" xfId="0" applyNumberFormat="1" applyFont="1" applyBorder="1"/>
    <xf numFmtId="0" fontId="24" fillId="0" borderId="0" xfId="0" applyFont="1" applyAlignment="1">
      <alignment wrapText="1"/>
    </xf>
    <xf numFmtId="0" fontId="15" fillId="0" borderId="61" xfId="0" applyFont="1" applyBorder="1" applyAlignment="1">
      <alignment horizontal="center" vertical="center"/>
    </xf>
    <xf numFmtId="0" fontId="16" fillId="0" borderId="0" xfId="0" applyFont="1"/>
    <xf numFmtId="0" fontId="32" fillId="0" borderId="0" xfId="0" applyFont="1"/>
    <xf numFmtId="0" fontId="16" fillId="0" borderId="0" xfId="0" applyFont="1" applyAlignment="1">
      <alignment wrapText="1"/>
    </xf>
    <xf numFmtId="4" fontId="16" fillId="0" borderId="0" xfId="0" applyNumberFormat="1" applyFont="1"/>
    <xf numFmtId="49" fontId="7" fillId="2" borderId="43" xfId="0" applyNumberFormat="1" applyFont="1" applyFill="1" applyBorder="1" applyAlignment="1">
      <alignment horizontal="center" vertical="center"/>
    </xf>
    <xf numFmtId="49" fontId="7" fillId="4" borderId="45" xfId="0" applyNumberFormat="1" applyFont="1" applyFill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4" borderId="20" xfId="0" applyNumberFormat="1" applyFont="1" applyFill="1" applyBorder="1" applyAlignment="1">
      <alignment horizontal="center" vertical="center"/>
    </xf>
    <xf numFmtId="49" fontId="7" fillId="0" borderId="45" xfId="0" applyNumberFormat="1" applyFont="1" applyBorder="1" applyAlignment="1">
      <alignment horizontal="center" vertical="center"/>
    </xf>
    <xf numFmtId="49" fontId="7" fillId="0" borderId="47" xfId="0" applyNumberFormat="1" applyFont="1" applyBorder="1" applyAlignment="1">
      <alignment horizontal="center" vertical="center"/>
    </xf>
    <xf numFmtId="49" fontId="7" fillId="2" borderId="26" xfId="0" applyNumberFormat="1" applyFont="1" applyFill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2" borderId="5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7" fillId="12" borderId="5" xfId="0" applyNumberFormat="1" applyFont="1" applyFill="1" applyBorder="1" applyAlignment="1">
      <alignment horizontal="center" vertical="center" wrapText="1"/>
    </xf>
    <xf numFmtId="49" fontId="7" fillId="12" borderId="6" xfId="0" applyNumberFormat="1" applyFont="1" applyFill="1" applyBorder="1"/>
    <xf numFmtId="0" fontId="5" fillId="12" borderId="12" xfId="0" applyFont="1" applyFill="1" applyBorder="1" applyAlignment="1">
      <alignment horizontal="center" vertical="center" wrapText="1"/>
    </xf>
    <xf numFmtId="0" fontId="11" fillId="12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/>
    </xf>
    <xf numFmtId="0" fontId="28" fillId="12" borderId="33" xfId="0" applyFont="1" applyFill="1" applyBorder="1" applyAlignment="1">
      <alignment horizontal="center" vertical="center" wrapText="1"/>
    </xf>
    <xf numFmtId="0" fontId="1" fillId="12" borderId="0" xfId="0" applyFont="1" applyFill="1"/>
    <xf numFmtId="49" fontId="7" fillId="12" borderId="26" xfId="0" applyNumberFormat="1" applyFont="1" applyFill="1" applyBorder="1"/>
    <xf numFmtId="49" fontId="7" fillId="12" borderId="16" xfId="0" applyNumberFormat="1" applyFont="1" applyFill="1" applyBorder="1"/>
    <xf numFmtId="0" fontId="7" fillId="12" borderId="15" xfId="0" applyFont="1" applyFill="1" applyBorder="1" applyAlignment="1">
      <alignment horizontal="center" vertical="center" wrapText="1"/>
    </xf>
    <xf numFmtId="0" fontId="7" fillId="12" borderId="16" xfId="0" applyFont="1" applyFill="1" applyBorder="1"/>
    <xf numFmtId="0" fontId="7" fillId="12" borderId="16" xfId="0" applyFont="1" applyFill="1" applyBorder="1" applyAlignment="1">
      <alignment horizontal="center"/>
    </xf>
    <xf numFmtId="0" fontId="7" fillId="12" borderId="25" xfId="0" applyFont="1" applyFill="1" applyBorder="1" applyAlignment="1">
      <alignment horizontal="center"/>
    </xf>
    <xf numFmtId="0" fontId="7" fillId="12" borderId="0" xfId="0" applyFont="1" applyFill="1"/>
    <xf numFmtId="0" fontId="2" fillId="12" borderId="7" xfId="0" applyFont="1" applyFill="1" applyBorder="1" applyAlignment="1">
      <alignment horizontal="center"/>
    </xf>
    <xf numFmtId="0" fontId="2" fillId="12" borderId="8" xfId="0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7" fillId="12" borderId="6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49" fontId="7" fillId="12" borderId="31" xfId="0" applyNumberFormat="1" applyFont="1" applyFill="1" applyBorder="1" applyAlignment="1">
      <alignment horizontal="center"/>
    </xf>
    <xf numFmtId="0" fontId="2" fillId="12" borderId="9" xfId="0" applyFont="1" applyFill="1" applyBorder="1"/>
    <xf numFmtId="0" fontId="2" fillId="12" borderId="10" xfId="0" applyFont="1" applyFill="1" applyBorder="1"/>
    <xf numFmtId="0" fontId="11" fillId="12" borderId="26" xfId="0" applyFont="1" applyFill="1" applyBorder="1" applyAlignment="1">
      <alignment horizontal="center" vertical="center" wrapText="1"/>
    </xf>
    <xf numFmtId="0" fontId="11" fillId="12" borderId="16" xfId="0" applyFont="1" applyFill="1" applyBorder="1" applyAlignment="1">
      <alignment horizontal="center" vertical="center" wrapText="1"/>
    </xf>
    <xf numFmtId="0" fontId="12" fillId="12" borderId="16" xfId="0" applyFont="1" applyFill="1" applyBorder="1" applyAlignment="1">
      <alignment horizontal="center" vertical="center"/>
    </xf>
    <xf numFmtId="0" fontId="28" fillId="12" borderId="16" xfId="0" applyFont="1" applyFill="1" applyBorder="1" applyAlignment="1">
      <alignment horizontal="center" vertical="center" wrapText="1"/>
    </xf>
    <xf numFmtId="0" fontId="28" fillId="12" borderId="24" xfId="0" applyFont="1" applyFill="1" applyBorder="1" applyAlignment="1">
      <alignment horizontal="center" vertical="center" wrapText="1"/>
    </xf>
    <xf numFmtId="49" fontId="7" fillId="12" borderId="40" xfId="0" applyNumberFormat="1" applyFont="1" applyFill="1" applyBorder="1" applyAlignment="1">
      <alignment horizontal="center"/>
    </xf>
    <xf numFmtId="49" fontId="7" fillId="12" borderId="70" xfId="0" applyNumberFormat="1" applyFont="1" applyFill="1" applyBorder="1" applyAlignment="1">
      <alignment horizontal="center"/>
    </xf>
    <xf numFmtId="49" fontId="7" fillId="12" borderId="69" xfId="0" applyNumberFormat="1" applyFont="1" applyFill="1" applyBorder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/>
    <xf numFmtId="0" fontId="10" fillId="0" borderId="0" xfId="0" applyFont="1" applyAlignment="1">
      <alignment wrapText="1"/>
    </xf>
    <xf numFmtId="4" fontId="4" fillId="0" borderId="0" xfId="0" applyNumberFormat="1" applyFont="1"/>
    <xf numFmtId="165" fontId="4" fillId="0" borderId="0" xfId="0" applyNumberFormat="1" applyFont="1"/>
    <xf numFmtId="49" fontId="4" fillId="0" borderId="13" xfId="0" applyNumberFormat="1" applyFont="1" applyBorder="1"/>
    <xf numFmtId="49" fontId="7" fillId="0" borderId="9" xfId="0" applyNumberFormat="1" applyFont="1" applyBorder="1"/>
    <xf numFmtId="0" fontId="7" fillId="0" borderId="0" xfId="0" applyFont="1"/>
    <xf numFmtId="49" fontId="7" fillId="0" borderId="7" xfId="0" applyNumberFormat="1" applyFont="1" applyBorder="1"/>
    <xf numFmtId="49" fontId="4" fillId="0" borderId="9" xfId="0" applyNumberFormat="1" applyFont="1" applyBorder="1"/>
    <xf numFmtId="0" fontId="10" fillId="0" borderId="9" xfId="0" applyFont="1" applyBorder="1"/>
    <xf numFmtId="0" fontId="10" fillId="0" borderId="9" xfId="0" applyFont="1" applyBorder="1" applyAlignment="1">
      <alignment wrapText="1"/>
    </xf>
    <xf numFmtId="4" fontId="4" fillId="0" borderId="9" xfId="0" applyNumberFormat="1" applyFont="1" applyBorder="1"/>
    <xf numFmtId="0" fontId="4" fillId="0" borderId="9" xfId="0" applyFont="1" applyBorder="1"/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/>
    <xf numFmtId="0" fontId="7" fillId="0" borderId="7" xfId="0" applyFont="1" applyBorder="1" applyAlignment="1">
      <alignment horizontal="center"/>
    </xf>
    <xf numFmtId="0" fontId="21" fillId="0" borderId="20" xfId="0" applyFont="1" applyBorder="1" applyAlignment="1">
      <alignment vertical="center"/>
    </xf>
    <xf numFmtId="0" fontId="21" fillId="0" borderId="1" xfId="0" applyFont="1" applyBorder="1" applyAlignment="1">
      <alignment vertical="center" wrapText="1"/>
    </xf>
    <xf numFmtId="4" fontId="21" fillId="0" borderId="1" xfId="0" applyNumberFormat="1" applyFont="1" applyBorder="1" applyAlignment="1">
      <alignment vertical="center"/>
    </xf>
    <xf numFmtId="0" fontId="21" fillId="0" borderId="48" xfId="0" applyFont="1" applyBorder="1" applyAlignment="1">
      <alignment horizontal="left" vertical="center"/>
    </xf>
    <xf numFmtId="0" fontId="21" fillId="0" borderId="48" xfId="0" applyFont="1" applyBorder="1" applyAlignment="1">
      <alignment vertical="center" wrapText="1"/>
    </xf>
    <xf numFmtId="4" fontId="21" fillId="0" borderId="48" xfId="0" applyNumberFormat="1" applyFont="1" applyBorder="1" applyAlignment="1">
      <alignment vertical="center"/>
    </xf>
    <xf numFmtId="0" fontId="21" fillId="0" borderId="53" xfId="0" applyFont="1" applyBorder="1" applyAlignment="1">
      <alignment vertical="center"/>
    </xf>
    <xf numFmtId="0" fontId="33" fillId="0" borderId="9" xfId="0" applyFont="1" applyBorder="1" applyAlignment="1">
      <alignment shrinkToFit="1"/>
    </xf>
    <xf numFmtId="4" fontId="34" fillId="11" borderId="31" xfId="0" applyNumberFormat="1" applyFont="1" applyFill="1" applyBorder="1" applyAlignment="1">
      <alignment vertical="center"/>
    </xf>
    <xf numFmtId="4" fontId="34" fillId="10" borderId="28" xfId="0" applyNumberFormat="1" applyFont="1" applyFill="1" applyBorder="1"/>
    <xf numFmtId="4" fontId="33" fillId="0" borderId="50" xfId="0" applyNumberFormat="1" applyFont="1" applyBorder="1"/>
    <xf numFmtId="4" fontId="33" fillId="0" borderId="39" xfId="0" applyNumberFormat="1" applyFont="1" applyBorder="1"/>
    <xf numFmtId="4" fontId="36" fillId="0" borderId="3" xfId="0" applyNumberFormat="1" applyFont="1" applyBorder="1"/>
    <xf numFmtId="4" fontId="37" fillId="0" borderId="3" xfId="0" applyNumberFormat="1" applyFont="1" applyBorder="1"/>
    <xf numFmtId="4" fontId="33" fillId="0" borderId="1" xfId="0" applyNumberFormat="1" applyFont="1" applyBorder="1"/>
    <xf numFmtId="4" fontId="37" fillId="0" borderId="1" xfId="0" applyNumberFormat="1" applyFont="1" applyBorder="1"/>
    <xf numFmtId="4" fontId="33" fillId="0" borderId="48" xfId="0" applyNumberFormat="1" applyFont="1" applyBorder="1"/>
    <xf numFmtId="4" fontId="33" fillId="0" borderId="19" xfId="0" applyNumberFormat="1" applyFont="1" applyBorder="1"/>
    <xf numFmtId="4" fontId="33" fillId="0" borderId="65" xfId="0" applyNumberFormat="1" applyFont="1" applyBorder="1"/>
    <xf numFmtId="4" fontId="34" fillId="9" borderId="28" xfId="0" applyNumberFormat="1" applyFont="1" applyFill="1" applyBorder="1" applyAlignment="1">
      <alignment horizontal="right" vertical="center"/>
    </xf>
    <xf numFmtId="0" fontId="38" fillId="0" borderId="0" xfId="0" applyFont="1"/>
    <xf numFmtId="0" fontId="9" fillId="13" borderId="0" xfId="0" applyFont="1" applyFill="1"/>
    <xf numFmtId="0" fontId="10" fillId="13" borderId="0" xfId="0" applyFont="1" applyFill="1"/>
    <xf numFmtId="0" fontId="0" fillId="13" borderId="0" xfId="0" applyFill="1"/>
    <xf numFmtId="0" fontId="24" fillId="13" borderId="0" xfId="0" applyFont="1" applyFill="1"/>
    <xf numFmtId="0" fontId="0" fillId="13" borderId="0" xfId="0" applyFill="1" applyAlignment="1">
      <alignment vertical="center"/>
    </xf>
    <xf numFmtId="4" fontId="30" fillId="9" borderId="28" xfId="0" applyNumberFormat="1" applyFont="1" applyFill="1" applyBorder="1" applyAlignment="1">
      <alignment vertical="center"/>
    </xf>
    <xf numFmtId="4" fontId="17" fillId="10" borderId="28" xfId="0" applyNumberFormat="1" applyFont="1" applyFill="1" applyBorder="1" applyAlignment="1">
      <alignment vertical="center"/>
    </xf>
    <xf numFmtId="4" fontId="21" fillId="0" borderId="39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4" fontId="24" fillId="0" borderId="1" xfId="0" applyNumberFormat="1" applyFont="1" applyBorder="1" applyAlignment="1">
      <alignment vertical="center"/>
    </xf>
    <xf numFmtId="4" fontId="9" fillId="0" borderId="39" xfId="0" applyNumberFormat="1" applyFont="1" applyBorder="1" applyAlignment="1">
      <alignment vertical="center"/>
    </xf>
    <xf numFmtId="4" fontId="34" fillId="10" borderId="28" xfId="0" applyNumberFormat="1" applyFont="1" applyFill="1" applyBorder="1" applyAlignment="1">
      <alignment vertical="center"/>
    </xf>
    <xf numFmtId="4" fontId="17" fillId="10" borderId="28" xfId="0" applyNumberFormat="1" applyFont="1" applyFill="1" applyBorder="1" applyAlignment="1">
      <alignment vertical="center" wrapText="1"/>
    </xf>
    <xf numFmtId="165" fontId="18" fillId="10" borderId="28" xfId="0" applyNumberFormat="1" applyFont="1" applyFill="1" applyBorder="1" applyAlignment="1">
      <alignment horizontal="right" vertical="center"/>
    </xf>
    <xf numFmtId="165" fontId="18" fillId="10" borderId="44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left" shrinkToFit="1"/>
    </xf>
    <xf numFmtId="165" fontId="18" fillId="9" borderId="28" xfId="0" applyNumberFormat="1" applyFont="1" applyFill="1" applyBorder="1" applyAlignment="1">
      <alignment horizontal="right" vertical="center"/>
    </xf>
    <xf numFmtId="165" fontId="18" fillId="9" borderId="44" xfId="0" applyNumberFormat="1" applyFont="1" applyFill="1" applyBorder="1" applyAlignment="1">
      <alignment horizontal="right" vertical="center"/>
    </xf>
    <xf numFmtId="4" fontId="34" fillId="10" borderId="28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0" fontId="17" fillId="10" borderId="0" xfId="0" applyFont="1" applyFill="1" applyAlignment="1">
      <alignment vertical="center"/>
    </xf>
    <xf numFmtId="4" fontId="18" fillId="10" borderId="28" xfId="0" applyNumberFormat="1" applyFont="1" applyFill="1" applyBorder="1" applyAlignment="1">
      <alignment horizontal="right" vertical="center"/>
    </xf>
    <xf numFmtId="4" fontId="35" fillId="9" borderId="28" xfId="0" applyNumberFormat="1" applyFont="1" applyFill="1" applyBorder="1" applyAlignment="1">
      <alignment vertical="center"/>
    </xf>
    <xf numFmtId="165" fontId="31" fillId="9" borderId="28" xfId="0" applyNumberFormat="1" applyFont="1" applyFill="1" applyBorder="1" applyAlignment="1">
      <alignment horizontal="right" vertical="center"/>
    </xf>
    <xf numFmtId="165" fontId="31" fillId="9" borderId="44" xfId="0" applyNumberFormat="1" applyFont="1" applyFill="1" applyBorder="1" applyAlignment="1">
      <alignment horizontal="right" vertical="center"/>
    </xf>
    <xf numFmtId="0" fontId="30" fillId="9" borderId="0" xfId="0" applyFont="1" applyFill="1" applyAlignment="1">
      <alignment vertical="center"/>
    </xf>
    <xf numFmtId="0" fontId="21" fillId="0" borderId="41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33" fillId="0" borderId="31" xfId="0" applyFont="1" applyBorder="1" applyAlignment="1">
      <alignment horizontal="center" vertical="center"/>
    </xf>
    <xf numFmtId="0" fontId="34" fillId="0" borderId="0" xfId="0" applyFont="1" applyAlignment="1">
      <alignment horizontal="left" shrinkToFit="1"/>
    </xf>
    <xf numFmtId="4" fontId="33" fillId="0" borderId="39" xfId="0" applyNumberFormat="1" applyFont="1" applyBorder="1" applyAlignment="1">
      <alignment vertical="center"/>
    </xf>
    <xf numFmtId="4" fontId="36" fillId="0" borderId="39" xfId="0" applyNumberFormat="1" applyFont="1" applyBorder="1" applyAlignment="1">
      <alignment vertical="center"/>
    </xf>
    <xf numFmtId="4" fontId="36" fillId="0" borderId="3" xfId="0" applyNumberFormat="1" applyFont="1" applyBorder="1" applyAlignment="1">
      <alignment vertical="center"/>
    </xf>
    <xf numFmtId="4" fontId="37" fillId="0" borderId="1" xfId="0" applyNumberFormat="1" applyFont="1" applyBorder="1" applyAlignment="1">
      <alignment vertical="center"/>
    </xf>
    <xf numFmtId="0" fontId="33" fillId="0" borderId="0" xfId="0" applyFont="1"/>
    <xf numFmtId="0" fontId="39" fillId="0" borderId="0" xfId="0" applyFont="1"/>
    <xf numFmtId="0" fontId="40" fillId="12" borderId="6" xfId="0" applyFont="1" applyFill="1" applyBorder="1" applyAlignment="1">
      <alignment horizontal="center"/>
    </xf>
    <xf numFmtId="3" fontId="40" fillId="0" borderId="1" xfId="0" applyNumberFormat="1" applyFont="1" applyBorder="1"/>
    <xf numFmtId="3" fontId="40" fillId="0" borderId="16" xfId="0" applyNumberFormat="1" applyFont="1" applyBorder="1"/>
    <xf numFmtId="4" fontId="39" fillId="0" borderId="1" xfId="0" applyNumberFormat="1" applyFont="1" applyBorder="1"/>
    <xf numFmtId="3" fontId="39" fillId="0" borderId="0" xfId="0" applyNumberFormat="1" applyFont="1"/>
    <xf numFmtId="0" fontId="40" fillId="0" borderId="0" xfId="0" applyFont="1"/>
    <xf numFmtId="0" fontId="40" fillId="12" borderId="16" xfId="0" applyFont="1" applyFill="1" applyBorder="1" applyAlignment="1">
      <alignment horizontal="center"/>
    </xf>
    <xf numFmtId="0" fontId="40" fillId="0" borderId="7" xfId="0" applyFont="1" applyBorder="1" applyAlignment="1">
      <alignment horizontal="center"/>
    </xf>
    <xf numFmtId="4" fontId="38" fillId="0" borderId="9" xfId="0" applyNumberFormat="1" applyFont="1" applyBorder="1"/>
    <xf numFmtId="3" fontId="39" fillId="4" borderId="3" xfId="0" applyNumberFormat="1" applyFont="1" applyFill="1" applyBorder="1"/>
    <xf numFmtId="3" fontId="39" fillId="0" borderId="1" xfId="0" applyNumberFormat="1" applyFont="1" applyBorder="1"/>
    <xf numFmtId="3" fontId="39" fillId="4" borderId="1" xfId="0" applyNumberFormat="1" applyFont="1" applyFill="1" applyBorder="1"/>
    <xf numFmtId="3" fontId="40" fillId="0" borderId="19" xfId="0" applyNumberFormat="1" applyFont="1" applyBorder="1"/>
    <xf numFmtId="3" fontId="39" fillId="2" borderId="16" xfId="0" applyNumberFormat="1" applyFont="1" applyFill="1" applyBorder="1"/>
    <xf numFmtId="3" fontId="40" fillId="0" borderId="0" xfId="0" applyNumberFormat="1" applyFont="1"/>
    <xf numFmtId="4" fontId="38" fillId="0" borderId="0" xfId="0" applyNumberFormat="1" applyFont="1"/>
    <xf numFmtId="3" fontId="39" fillId="2" borderId="6" xfId="0" applyNumberFormat="1" applyFont="1" applyFill="1" applyBorder="1"/>
    <xf numFmtId="3" fontId="40" fillId="0" borderId="16" xfId="0" applyNumberFormat="1" applyFont="1" applyBorder="1" applyAlignment="1">
      <alignment vertical="center"/>
    </xf>
    <xf numFmtId="4" fontId="40" fillId="0" borderId="0" xfId="0" applyNumberFormat="1" applyFont="1"/>
    <xf numFmtId="0" fontId="41" fillId="0" borderId="0" xfId="0" applyFont="1"/>
    <xf numFmtId="0" fontId="42" fillId="12" borderId="6" xfId="0" applyFont="1" applyFill="1" applyBorder="1" applyAlignment="1">
      <alignment horizontal="center" vertical="center" wrapText="1"/>
    </xf>
    <xf numFmtId="0" fontId="37" fillId="12" borderId="16" xfId="0" applyFont="1" applyFill="1" applyBorder="1" applyAlignment="1">
      <alignment horizontal="center" vertical="center" wrapText="1"/>
    </xf>
    <xf numFmtId="4" fontId="39" fillId="2" borderId="28" xfId="0" applyNumberFormat="1" applyFont="1" applyFill="1" applyBorder="1"/>
    <xf numFmtId="4" fontId="39" fillId="4" borderId="3" xfId="0" applyNumberFormat="1" applyFont="1" applyFill="1" applyBorder="1"/>
    <xf numFmtId="4" fontId="40" fillId="0" borderId="1" xfId="0" applyNumberFormat="1" applyFont="1" applyBorder="1"/>
    <xf numFmtId="4" fontId="39" fillId="4" borderId="1" xfId="0" applyNumberFormat="1" applyFont="1" applyFill="1" applyBorder="1"/>
    <xf numFmtId="4" fontId="40" fillId="0" borderId="3" xfId="0" applyNumberFormat="1" applyFont="1" applyBorder="1"/>
    <xf numFmtId="4" fontId="39" fillId="2" borderId="16" xfId="0" applyNumberFormat="1" applyFont="1" applyFill="1" applyBorder="1"/>
    <xf numFmtId="4" fontId="39" fillId="0" borderId="3" xfId="0" applyNumberFormat="1" applyFont="1" applyBorder="1"/>
    <xf numFmtId="4" fontId="40" fillId="0" borderId="16" xfId="0" applyNumberFormat="1" applyFont="1" applyBorder="1"/>
    <xf numFmtId="4" fontId="39" fillId="3" borderId="16" xfId="0" applyNumberFormat="1" applyFont="1" applyFill="1" applyBorder="1"/>
    <xf numFmtId="0" fontId="43" fillId="0" borderId="0" xfId="0" applyFont="1" applyAlignment="1">
      <alignment vertical="center"/>
    </xf>
    <xf numFmtId="0" fontId="44" fillId="0" borderId="0" xfId="0" applyFont="1"/>
    <xf numFmtId="0" fontId="45" fillId="0" borderId="61" xfId="0" applyFont="1" applyBorder="1" applyAlignment="1">
      <alignment horizontal="center" vertical="center" wrapText="1"/>
    </xf>
    <xf numFmtId="49" fontId="7" fillId="14" borderId="5" xfId="0" applyNumberFormat="1" applyFont="1" applyFill="1" applyBorder="1"/>
    <xf numFmtId="49" fontId="7" fillId="14" borderId="6" xfId="0" applyNumberFormat="1" applyFont="1" applyFill="1" applyBorder="1"/>
    <xf numFmtId="0" fontId="2" fillId="14" borderId="12" xfId="0" applyFont="1" applyFill="1" applyBorder="1"/>
    <xf numFmtId="0" fontId="2" fillId="14" borderId="6" xfId="0" applyFont="1" applyFill="1" applyBorder="1"/>
    <xf numFmtId="3" fontId="2" fillId="14" borderId="6" xfId="0" applyNumberFormat="1" applyFont="1" applyFill="1" applyBorder="1"/>
    <xf numFmtId="4" fontId="39" fillId="14" borderId="6" xfId="0" applyNumberFormat="1" applyFont="1" applyFill="1" applyBorder="1"/>
    <xf numFmtId="0" fontId="1" fillId="14" borderId="0" xfId="0" applyFont="1" applyFill="1"/>
    <xf numFmtId="49" fontId="7" fillId="0" borderId="2" xfId="0" applyNumberFormat="1" applyFont="1" applyBorder="1"/>
    <xf numFmtId="0" fontId="2" fillId="0" borderId="72" xfId="0" applyFont="1" applyBorder="1"/>
    <xf numFmtId="49" fontId="7" fillId="0" borderId="4" xfId="0" applyNumberFormat="1" applyFont="1" applyBorder="1"/>
    <xf numFmtId="49" fontId="7" fillId="0" borderId="71" xfId="0" applyNumberFormat="1" applyFont="1" applyBorder="1"/>
    <xf numFmtId="4" fontId="2" fillId="0" borderId="4" xfId="0" applyNumberFormat="1" applyFont="1" applyBorder="1"/>
    <xf numFmtId="4" fontId="2" fillId="0" borderId="72" xfId="0" applyNumberFormat="1" applyFont="1" applyBorder="1"/>
    <xf numFmtId="4" fontId="39" fillId="0" borderId="72" xfId="0" applyNumberFormat="1" applyFont="1" applyBorder="1"/>
    <xf numFmtId="164" fontId="2" fillId="0" borderId="72" xfId="0" applyNumberFormat="1" applyFont="1" applyBorder="1"/>
    <xf numFmtId="0" fontId="6" fillId="12" borderId="6" xfId="0" applyFont="1" applyFill="1" applyBorder="1" applyAlignment="1">
      <alignment horizontal="center"/>
    </xf>
    <xf numFmtId="0" fontId="12" fillId="12" borderId="16" xfId="0" applyFont="1" applyFill="1" applyBorder="1" applyAlignment="1">
      <alignment horizontal="center" vertical="center" wrapText="1"/>
    </xf>
    <xf numFmtId="0" fontId="1" fillId="12" borderId="6" xfId="0" applyFont="1" applyFill="1" applyBorder="1" applyAlignment="1">
      <alignment horizontal="center" vertical="center" wrapText="1"/>
    </xf>
    <xf numFmtId="0" fontId="6" fillId="12" borderId="16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4" fontId="3" fillId="0" borderId="9" xfId="0" applyNumberFormat="1" applyFont="1" applyBorder="1"/>
    <xf numFmtId="3" fontId="2" fillId="2" borderId="6" xfId="0" applyNumberFormat="1" applyFont="1" applyFill="1" applyBorder="1"/>
    <xf numFmtId="0" fontId="9" fillId="0" borderId="3" xfId="0" applyFont="1" applyBorder="1" applyAlignment="1">
      <alignment vertical="center" wrapText="1"/>
    </xf>
    <xf numFmtId="0" fontId="17" fillId="10" borderId="0" xfId="0" applyFont="1" applyFill="1" applyAlignment="1">
      <alignment vertical="center" wrapText="1"/>
    </xf>
    <xf numFmtId="4" fontId="39" fillId="2" borderId="6" xfId="0" applyNumberFormat="1" applyFont="1" applyFill="1" applyBorder="1"/>
    <xf numFmtId="165" fontId="21" fillId="0" borderId="3" xfId="0" applyNumberFormat="1" applyFont="1" applyBorder="1" applyAlignment="1">
      <alignment horizontal="right" vertical="center"/>
    </xf>
    <xf numFmtId="165" fontId="21" fillId="0" borderId="65" xfId="0" applyNumberFormat="1" applyFont="1" applyBorder="1" applyAlignment="1">
      <alignment horizontal="right" vertical="center"/>
    </xf>
    <xf numFmtId="0" fontId="0" fillId="0" borderId="49" xfId="0" applyBorder="1" applyAlignment="1">
      <alignment vertical="center"/>
    </xf>
    <xf numFmtId="0" fontId="21" fillId="0" borderId="49" xfId="0" applyFont="1" applyBorder="1"/>
    <xf numFmtId="0" fontId="9" fillId="0" borderId="49" xfId="0" applyFont="1" applyBorder="1"/>
    <xf numFmtId="0" fontId="24" fillId="0" borderId="49" xfId="0" applyFont="1" applyBorder="1"/>
    <xf numFmtId="0" fontId="4" fillId="0" borderId="49" xfId="0" applyFont="1" applyBorder="1"/>
    <xf numFmtId="4" fontId="33" fillId="0" borderId="1" xfId="0" applyNumberFormat="1" applyFont="1" applyBorder="1" applyAlignment="1">
      <alignment vertical="center"/>
    </xf>
    <xf numFmtId="4" fontId="33" fillId="0" borderId="48" xfId="0" applyNumberFormat="1" applyFont="1" applyBorder="1" applyAlignment="1">
      <alignment vertical="center"/>
    </xf>
    <xf numFmtId="165" fontId="31" fillId="11" borderId="28" xfId="0" applyNumberFormat="1" applyFont="1" applyFill="1" applyBorder="1" applyAlignment="1">
      <alignment horizontal="right" vertical="center"/>
    </xf>
    <xf numFmtId="165" fontId="31" fillId="11" borderId="44" xfId="0" applyNumberFormat="1" applyFont="1" applyFill="1" applyBorder="1" applyAlignment="1">
      <alignment horizontal="right" vertical="center"/>
    </xf>
    <xf numFmtId="0" fontId="21" fillId="0" borderId="59" xfId="0" applyFont="1" applyBorder="1" applyAlignment="1">
      <alignment horizontal="center" vertical="center"/>
    </xf>
    <xf numFmtId="0" fontId="28" fillId="12" borderId="32" xfId="0" applyFont="1" applyFill="1" applyBorder="1" applyAlignment="1">
      <alignment horizontal="center" vertical="center" wrapText="1"/>
    </xf>
    <xf numFmtId="0" fontId="7" fillId="12" borderId="59" xfId="0" applyFont="1" applyFill="1" applyBorder="1" applyAlignment="1">
      <alignment horizontal="center"/>
    </xf>
    <xf numFmtId="164" fontId="7" fillId="0" borderId="24" xfId="0" applyNumberFormat="1" applyFont="1" applyBorder="1"/>
    <xf numFmtId="4" fontId="7" fillId="0" borderId="23" xfId="0" applyNumberFormat="1" applyFont="1" applyBorder="1"/>
    <xf numFmtId="165" fontId="7" fillId="2" borderId="44" xfId="0" applyNumberFormat="1" applyFont="1" applyFill="1" applyBorder="1"/>
    <xf numFmtId="165" fontId="7" fillId="4" borderId="52" xfId="0" applyNumberFormat="1" applyFont="1" applyFill="1" applyBorder="1"/>
    <xf numFmtId="165" fontId="7" fillId="0" borderId="52" xfId="0" applyNumberFormat="1" applyFont="1" applyBorder="1"/>
    <xf numFmtId="165" fontId="7" fillId="2" borderId="24" xfId="0" applyNumberFormat="1" applyFont="1" applyFill="1" applyBorder="1"/>
    <xf numFmtId="49" fontId="7" fillId="4" borderId="1" xfId="0" applyNumberFormat="1" applyFont="1" applyFill="1" applyBorder="1" applyAlignment="1">
      <alignment vertical="center"/>
    </xf>
    <xf numFmtId="0" fontId="11" fillId="4" borderId="4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vertical="center" wrapText="1"/>
    </xf>
    <xf numFmtId="3" fontId="2" fillId="4" borderId="1" xfId="0" applyNumberFormat="1" applyFont="1" applyFill="1" applyBorder="1" applyAlignment="1">
      <alignment vertical="center"/>
    </xf>
    <xf numFmtId="4" fontId="39" fillId="4" borderId="1" xfId="0" applyNumberFormat="1" applyFont="1" applyFill="1" applyBorder="1" applyAlignment="1">
      <alignment vertical="center"/>
    </xf>
    <xf numFmtId="0" fontId="1" fillId="4" borderId="0" xfId="0" applyFont="1" applyFill="1" applyAlignment="1">
      <alignment vertical="center"/>
    </xf>
    <xf numFmtId="164" fontId="7" fillId="14" borderId="21" xfId="0" applyNumberFormat="1" applyFont="1" applyFill="1" applyBorder="1"/>
    <xf numFmtId="165" fontId="7" fillId="14" borderId="52" xfId="0" applyNumberFormat="1" applyFont="1" applyFill="1" applyBorder="1"/>
    <xf numFmtId="164" fontId="7" fillId="2" borderId="28" xfId="0" applyNumberFormat="1" applyFont="1" applyFill="1" applyBorder="1"/>
    <xf numFmtId="164" fontId="7" fillId="2" borderId="31" xfId="0" applyNumberFormat="1" applyFont="1" applyFill="1" applyBorder="1"/>
    <xf numFmtId="4" fontId="9" fillId="15" borderId="3" xfId="0" applyNumberFormat="1" applyFont="1" applyFill="1" applyBorder="1"/>
    <xf numFmtId="0" fontId="21" fillId="0" borderId="48" xfId="0" applyFont="1" applyBorder="1"/>
    <xf numFmtId="4" fontId="17" fillId="10" borderId="31" xfId="0" applyNumberFormat="1" applyFont="1" applyFill="1" applyBorder="1" applyAlignment="1">
      <alignment vertical="center"/>
    </xf>
    <xf numFmtId="4" fontId="34" fillId="10" borderId="31" xfId="0" applyNumberFormat="1" applyFont="1" applyFill="1" applyBorder="1" applyAlignment="1">
      <alignment vertical="center"/>
    </xf>
    <xf numFmtId="165" fontId="18" fillId="10" borderId="31" xfId="0" applyNumberFormat="1" applyFont="1" applyFill="1" applyBorder="1" applyAlignment="1">
      <alignment horizontal="right" vertical="center"/>
    </xf>
    <xf numFmtId="165" fontId="18" fillId="10" borderId="59" xfId="0" applyNumberFormat="1" applyFont="1" applyFill="1" applyBorder="1" applyAlignment="1">
      <alignment horizontal="right" vertical="center"/>
    </xf>
    <xf numFmtId="4" fontId="17" fillId="10" borderId="31" xfId="0" applyNumberFormat="1" applyFont="1" applyFill="1" applyBorder="1" applyAlignment="1">
      <alignment vertical="center" wrapText="1"/>
    </xf>
    <xf numFmtId="4" fontId="34" fillId="10" borderId="31" xfId="0" applyNumberFormat="1" applyFont="1" applyFill="1" applyBorder="1" applyAlignment="1">
      <alignment vertical="center" wrapText="1"/>
    </xf>
    <xf numFmtId="0" fontId="47" fillId="13" borderId="4" xfId="0" applyFont="1" applyFill="1" applyBorder="1" applyAlignment="1">
      <alignment horizontal="left"/>
    </xf>
    <xf numFmtId="0" fontId="48" fillId="13" borderId="4" xfId="0" applyFont="1" applyFill="1" applyBorder="1" applyAlignment="1">
      <alignment horizontal="left"/>
    </xf>
    <xf numFmtId="3" fontId="49" fillId="0" borderId="1" xfId="0" applyNumberFormat="1" applyFont="1" applyBorder="1"/>
    <xf numFmtId="165" fontId="21" fillId="0" borderId="38" xfId="0" applyNumberFormat="1" applyFont="1" applyBorder="1" applyAlignment="1">
      <alignment horizontal="right"/>
    </xf>
    <xf numFmtId="4" fontId="21" fillId="0" borderId="35" xfId="0" applyNumberFormat="1" applyFont="1" applyBorder="1"/>
    <xf numFmtId="0" fontId="21" fillId="0" borderId="0" xfId="0" applyFont="1" applyAlignment="1">
      <alignment wrapText="1"/>
    </xf>
    <xf numFmtId="0" fontId="21" fillId="0" borderId="35" xfId="0" applyFont="1" applyBorder="1" applyAlignment="1">
      <alignment horizontal="left"/>
    </xf>
    <xf numFmtId="4" fontId="24" fillId="0" borderId="39" xfId="0" applyNumberFormat="1" applyFont="1" applyBorder="1"/>
    <xf numFmtId="4" fontId="21" fillId="15" borderId="1" xfId="0" applyNumberFormat="1" applyFont="1" applyFill="1" applyBorder="1"/>
    <xf numFmtId="0" fontId="9" fillId="15" borderId="3" xfId="0" applyFont="1" applyFill="1" applyBorder="1" applyAlignment="1">
      <alignment wrapText="1"/>
    </xf>
    <xf numFmtId="4" fontId="21" fillId="15" borderId="39" xfId="0" applyNumberFormat="1" applyFont="1" applyFill="1" applyBorder="1"/>
    <xf numFmtId="4" fontId="21" fillId="15" borderId="39" xfId="0" applyNumberFormat="1" applyFont="1" applyFill="1" applyBorder="1" applyAlignment="1">
      <alignment vertical="center"/>
    </xf>
    <xf numFmtId="4" fontId="9" fillId="15" borderId="39" xfId="0" applyNumberFormat="1" applyFont="1" applyFill="1" applyBorder="1" applyAlignment="1">
      <alignment vertical="center"/>
    </xf>
    <xf numFmtId="4" fontId="9" fillId="15" borderId="3" xfId="0" applyNumberFormat="1" applyFont="1" applyFill="1" applyBorder="1" applyAlignment="1">
      <alignment vertical="center"/>
    </xf>
    <xf numFmtId="0" fontId="21" fillId="15" borderId="1" xfId="0" applyFont="1" applyFill="1" applyBorder="1" applyAlignment="1">
      <alignment wrapText="1"/>
    </xf>
    <xf numFmtId="4" fontId="33" fillId="15" borderId="1" xfId="0" applyNumberFormat="1" applyFont="1" applyFill="1" applyBorder="1"/>
    <xf numFmtId="165" fontId="21" fillId="15" borderId="1" xfId="0" applyNumberFormat="1" applyFont="1" applyFill="1" applyBorder="1" applyAlignment="1">
      <alignment horizontal="right"/>
    </xf>
    <xf numFmtId="0" fontId="21" fillId="15" borderId="1" xfId="0" applyFont="1" applyFill="1" applyBorder="1"/>
    <xf numFmtId="4" fontId="9" fillId="15" borderId="1" xfId="0" applyNumberFormat="1" applyFont="1" applyFill="1" applyBorder="1"/>
    <xf numFmtId="0" fontId="24" fillId="15" borderId="1" xfId="0" applyFont="1" applyFill="1" applyBorder="1"/>
    <xf numFmtId="0" fontId="24" fillId="15" borderId="1" xfId="0" applyFont="1" applyFill="1" applyBorder="1" applyAlignment="1">
      <alignment horizontal="center" vertical="center"/>
    </xf>
    <xf numFmtId="0" fontId="24" fillId="15" borderId="1" xfId="0" applyFont="1" applyFill="1" applyBorder="1" applyAlignment="1">
      <alignment horizontal="left"/>
    </xf>
    <xf numFmtId="0" fontId="24" fillId="15" borderId="1" xfId="0" applyFont="1" applyFill="1" applyBorder="1" applyAlignment="1">
      <alignment wrapText="1"/>
    </xf>
    <xf numFmtId="4" fontId="24" fillId="15" borderId="1" xfId="0" applyNumberFormat="1" applyFont="1" applyFill="1" applyBorder="1"/>
    <xf numFmtId="4" fontId="37" fillId="15" borderId="1" xfId="0" applyNumberFormat="1" applyFont="1" applyFill="1" applyBorder="1"/>
    <xf numFmtId="0" fontId="21" fillId="15" borderId="1" xfId="0" applyFont="1" applyFill="1" applyBorder="1" applyAlignment="1">
      <alignment horizontal="center" vertical="center"/>
    </xf>
    <xf numFmtId="0" fontId="21" fillId="15" borderId="1" xfId="0" applyFont="1" applyFill="1" applyBorder="1" applyAlignment="1">
      <alignment horizontal="left"/>
    </xf>
    <xf numFmtId="0" fontId="21" fillId="15" borderId="19" xfId="0" applyFont="1" applyFill="1" applyBorder="1"/>
    <xf numFmtId="0" fontId="21" fillId="15" borderId="19" xfId="0" applyFont="1" applyFill="1" applyBorder="1" applyAlignment="1">
      <alignment horizontal="center" vertical="center"/>
    </xf>
    <xf numFmtId="0" fontId="21" fillId="15" borderId="19" xfId="0" applyFont="1" applyFill="1" applyBorder="1" applyAlignment="1">
      <alignment horizontal="left"/>
    </xf>
    <xf numFmtId="0" fontId="21" fillId="15" borderId="19" xfId="0" applyFont="1" applyFill="1" applyBorder="1" applyAlignment="1">
      <alignment wrapText="1"/>
    </xf>
    <xf numFmtId="4" fontId="21" fillId="15" borderId="19" xfId="0" applyNumberFormat="1" applyFont="1" applyFill="1" applyBorder="1"/>
    <xf numFmtId="4" fontId="33" fillId="15" borderId="19" xfId="0" applyNumberFormat="1" applyFont="1" applyFill="1" applyBorder="1"/>
    <xf numFmtId="165" fontId="21" fillId="15" borderId="19" xfId="0" applyNumberFormat="1" applyFont="1" applyFill="1" applyBorder="1" applyAlignment="1">
      <alignment horizontal="right"/>
    </xf>
    <xf numFmtId="0" fontId="21" fillId="15" borderId="48" xfId="0" applyFont="1" applyFill="1" applyBorder="1" applyAlignment="1">
      <alignment horizontal="center" vertical="center"/>
    </xf>
    <xf numFmtId="0" fontId="21" fillId="15" borderId="48" xfId="0" applyFont="1" applyFill="1" applyBorder="1" applyAlignment="1">
      <alignment horizontal="left"/>
    </xf>
    <xf numFmtId="0" fontId="21" fillId="15" borderId="48" xfId="0" applyFont="1" applyFill="1" applyBorder="1" applyAlignment="1">
      <alignment wrapText="1"/>
    </xf>
    <xf numFmtId="4" fontId="21" fillId="15" borderId="48" xfId="0" applyNumberFormat="1" applyFont="1" applyFill="1" applyBorder="1"/>
    <xf numFmtId="4" fontId="33" fillId="15" borderId="48" xfId="0" applyNumberFormat="1" applyFont="1" applyFill="1" applyBorder="1"/>
    <xf numFmtId="165" fontId="21" fillId="15" borderId="48" xfId="0" applyNumberFormat="1" applyFont="1" applyFill="1" applyBorder="1" applyAlignment="1">
      <alignment horizontal="right"/>
    </xf>
    <xf numFmtId="0" fontId="21" fillId="15" borderId="39" xfId="0" applyFont="1" applyFill="1" applyBorder="1" applyAlignment="1">
      <alignment wrapText="1"/>
    </xf>
    <xf numFmtId="4" fontId="33" fillId="15" borderId="39" xfId="0" applyNumberFormat="1" applyFont="1" applyFill="1" applyBorder="1"/>
    <xf numFmtId="165" fontId="21" fillId="15" borderId="39" xfId="0" applyNumberFormat="1" applyFont="1" applyFill="1" applyBorder="1" applyAlignment="1">
      <alignment horizontal="right"/>
    </xf>
    <xf numFmtId="165" fontId="21" fillId="15" borderId="56" xfId="0" applyNumberFormat="1" applyFont="1" applyFill="1" applyBorder="1" applyAlignment="1">
      <alignment horizontal="right"/>
    </xf>
    <xf numFmtId="0" fontId="21" fillId="15" borderId="53" xfId="0" applyFont="1" applyFill="1" applyBorder="1"/>
    <xf numFmtId="165" fontId="21" fillId="15" borderId="54" xfId="0" applyNumberFormat="1" applyFont="1" applyFill="1" applyBorder="1" applyAlignment="1">
      <alignment horizontal="right"/>
    </xf>
    <xf numFmtId="0" fontId="24" fillId="15" borderId="20" xfId="0" applyFont="1" applyFill="1" applyBorder="1" applyAlignment="1">
      <alignment horizontal="left"/>
    </xf>
    <xf numFmtId="0" fontId="24" fillId="15" borderId="1" xfId="0" applyFont="1" applyFill="1" applyBorder="1" applyAlignment="1">
      <alignment horizontal="left" vertical="center"/>
    </xf>
    <xf numFmtId="165" fontId="21" fillId="15" borderId="3" xfId="0" applyNumberFormat="1" applyFont="1" applyFill="1" applyBorder="1" applyAlignment="1">
      <alignment horizontal="right"/>
    </xf>
    <xf numFmtId="165" fontId="21" fillId="15" borderId="52" xfId="0" applyNumberFormat="1" applyFont="1" applyFill="1" applyBorder="1" applyAlignment="1">
      <alignment horizontal="right"/>
    </xf>
    <xf numFmtId="0" fontId="21" fillId="15" borderId="20" xfId="0" applyFont="1" applyFill="1" applyBorder="1" applyAlignment="1">
      <alignment horizontal="left"/>
    </xf>
    <xf numFmtId="0" fontId="4" fillId="15" borderId="51" xfId="0" applyFont="1" applyFill="1" applyBorder="1"/>
    <xf numFmtId="0" fontId="4" fillId="15" borderId="0" xfId="0" applyFont="1" applyFill="1" applyAlignment="1">
      <alignment horizontal="center"/>
    </xf>
    <xf numFmtId="0" fontId="4" fillId="15" borderId="0" xfId="0" applyFont="1" applyFill="1"/>
    <xf numFmtId="4" fontId="21" fillId="15" borderId="3" xfId="0" applyNumberFormat="1" applyFont="1" applyFill="1" applyBorder="1"/>
    <xf numFmtId="0" fontId="9" fillId="15" borderId="51" xfId="0" applyFont="1" applyFill="1" applyBorder="1"/>
    <xf numFmtId="0" fontId="9" fillId="15" borderId="0" xfId="0" applyFont="1" applyFill="1" applyAlignment="1">
      <alignment horizontal="center"/>
    </xf>
    <xf numFmtId="0" fontId="9" fillId="15" borderId="0" xfId="0" applyFont="1" applyFill="1"/>
    <xf numFmtId="0" fontId="9" fillId="15" borderId="3" xfId="0" applyFont="1" applyFill="1" applyBorder="1" applyAlignment="1">
      <alignment vertical="distributed" wrapText="1"/>
    </xf>
    <xf numFmtId="4" fontId="36" fillId="15" borderId="3" xfId="0" applyNumberFormat="1" applyFont="1" applyFill="1" applyBorder="1"/>
    <xf numFmtId="4" fontId="15" fillId="15" borderId="3" xfId="0" applyNumberFormat="1" applyFont="1" applyFill="1" applyBorder="1" applyAlignment="1">
      <alignment horizontal="right"/>
    </xf>
    <xf numFmtId="4" fontId="15" fillId="15" borderId="52" xfId="0" applyNumberFormat="1" applyFont="1" applyFill="1" applyBorder="1" applyAlignment="1">
      <alignment horizontal="right"/>
    </xf>
    <xf numFmtId="0" fontId="24" fillId="15" borderId="1" xfId="0" applyFont="1" applyFill="1" applyBorder="1" applyAlignment="1">
      <alignment horizontal="center"/>
    </xf>
    <xf numFmtId="165" fontId="21" fillId="15" borderId="23" xfId="0" applyNumberFormat="1" applyFont="1" applyFill="1" applyBorder="1" applyAlignment="1">
      <alignment horizontal="right"/>
    </xf>
    <xf numFmtId="0" fontId="21" fillId="15" borderId="1" xfId="0" applyFont="1" applyFill="1" applyBorder="1" applyAlignment="1">
      <alignment horizontal="center"/>
    </xf>
    <xf numFmtId="0" fontId="21" fillId="15" borderId="53" xfId="0" applyFont="1" applyFill="1" applyBorder="1" applyAlignment="1">
      <alignment horizontal="left"/>
    </xf>
    <xf numFmtId="0" fontId="21" fillId="15" borderId="48" xfId="0" applyFont="1" applyFill="1" applyBorder="1" applyAlignment="1">
      <alignment horizontal="left" vertical="center" wrapText="1"/>
    </xf>
    <xf numFmtId="0" fontId="21" fillId="15" borderId="39" xfId="0" applyFont="1" applyFill="1" applyBorder="1"/>
    <xf numFmtId="0" fontId="9" fillId="15" borderId="3" xfId="0" applyFont="1" applyFill="1" applyBorder="1" applyAlignment="1">
      <alignment horizontal="left"/>
    </xf>
    <xf numFmtId="165" fontId="21" fillId="15" borderId="65" xfId="0" applyNumberFormat="1" applyFont="1" applyFill="1" applyBorder="1" applyAlignment="1">
      <alignment horizontal="right"/>
    </xf>
    <xf numFmtId="165" fontId="21" fillId="15" borderId="66" xfId="0" applyNumberFormat="1" applyFont="1" applyFill="1" applyBorder="1" applyAlignment="1">
      <alignment horizontal="right"/>
    </xf>
    <xf numFmtId="0" fontId="21" fillId="15" borderId="1" xfId="0" applyFont="1" applyFill="1" applyBorder="1" applyAlignment="1">
      <alignment horizontal="left" vertical="center"/>
    </xf>
    <xf numFmtId="165" fontId="21" fillId="15" borderId="55" xfId="0" applyNumberFormat="1" applyFont="1" applyFill="1" applyBorder="1" applyAlignment="1">
      <alignment horizontal="right"/>
    </xf>
    <xf numFmtId="0" fontId="9" fillId="15" borderId="0" xfId="0" applyFont="1" applyFill="1" applyAlignment="1">
      <alignment horizontal="center" vertical="center"/>
    </xf>
    <xf numFmtId="4" fontId="9" fillId="15" borderId="39" xfId="0" applyNumberFormat="1" applyFont="1" applyFill="1" applyBorder="1"/>
    <xf numFmtId="4" fontId="36" fillId="15" borderId="39" xfId="0" applyNumberFormat="1" applyFont="1" applyFill="1" applyBorder="1"/>
    <xf numFmtId="165" fontId="15" fillId="15" borderId="39" xfId="0" applyNumberFormat="1" applyFont="1" applyFill="1" applyBorder="1" applyAlignment="1">
      <alignment horizontal="right"/>
    </xf>
    <xf numFmtId="165" fontId="15" fillId="15" borderId="56" xfId="0" applyNumberFormat="1" applyFont="1" applyFill="1" applyBorder="1" applyAlignment="1">
      <alignment horizontal="right"/>
    </xf>
    <xf numFmtId="0" fontId="4" fillId="15" borderId="0" xfId="0" applyFont="1" applyFill="1" applyAlignment="1">
      <alignment horizontal="center" vertical="center"/>
    </xf>
    <xf numFmtId="0" fontId="24" fillId="15" borderId="20" xfId="0" applyFont="1" applyFill="1" applyBorder="1"/>
    <xf numFmtId="0" fontId="21" fillId="15" borderId="20" xfId="0" applyFont="1" applyFill="1" applyBorder="1"/>
    <xf numFmtId="0" fontId="21" fillId="15" borderId="48" xfId="0" applyFont="1" applyFill="1" applyBorder="1"/>
    <xf numFmtId="0" fontId="21" fillId="15" borderId="64" xfId="0" applyFont="1" applyFill="1" applyBorder="1"/>
    <xf numFmtId="0" fontId="21" fillId="15" borderId="65" xfId="0" applyFont="1" applyFill="1" applyBorder="1" applyAlignment="1">
      <alignment horizontal="center" vertical="center"/>
    </xf>
    <xf numFmtId="0" fontId="21" fillId="15" borderId="65" xfId="0" applyFont="1" applyFill="1" applyBorder="1" applyAlignment="1">
      <alignment horizontal="left"/>
    </xf>
    <xf numFmtId="0" fontId="21" fillId="15" borderId="65" xfId="0" applyFont="1" applyFill="1" applyBorder="1" applyAlignment="1">
      <alignment wrapText="1"/>
    </xf>
    <xf numFmtId="4" fontId="21" fillId="15" borderId="65" xfId="0" applyNumberFormat="1" applyFont="1" applyFill="1" applyBorder="1"/>
    <xf numFmtId="0" fontId="21" fillId="15" borderId="20" xfId="0" applyFont="1" applyFill="1" applyBorder="1" applyAlignment="1">
      <alignment vertical="center"/>
    </xf>
    <xf numFmtId="0" fontId="21" fillId="15" borderId="19" xfId="0" applyFont="1" applyFill="1" applyBorder="1" applyAlignment="1">
      <alignment horizontal="left" vertical="center"/>
    </xf>
    <xf numFmtId="0" fontId="21" fillId="15" borderId="19" xfId="0" applyFont="1" applyFill="1" applyBorder="1" applyAlignment="1">
      <alignment vertical="center" wrapText="1"/>
    </xf>
    <xf numFmtId="4" fontId="21" fillId="15" borderId="19" xfId="0" applyNumberFormat="1" applyFont="1" applyFill="1" applyBorder="1" applyAlignment="1">
      <alignment vertical="center"/>
    </xf>
    <xf numFmtId="4" fontId="21" fillId="15" borderId="1" xfId="0" applyNumberFormat="1" applyFont="1" applyFill="1" applyBorder="1" applyAlignment="1">
      <alignment vertical="center"/>
    </xf>
    <xf numFmtId="4" fontId="33" fillId="15" borderId="1" xfId="0" applyNumberFormat="1" applyFont="1" applyFill="1" applyBorder="1" applyAlignment="1">
      <alignment vertical="center"/>
    </xf>
    <xf numFmtId="165" fontId="21" fillId="15" borderId="3" xfId="0" applyNumberFormat="1" applyFont="1" applyFill="1" applyBorder="1" applyAlignment="1">
      <alignment horizontal="right" vertical="center"/>
    </xf>
    <xf numFmtId="165" fontId="21" fillId="15" borderId="52" xfId="0" applyNumberFormat="1" applyFont="1" applyFill="1" applyBorder="1" applyAlignment="1">
      <alignment horizontal="right" vertical="center"/>
    </xf>
    <xf numFmtId="0" fontId="21" fillId="15" borderId="53" xfId="0" applyFont="1" applyFill="1" applyBorder="1" applyAlignment="1">
      <alignment vertical="center"/>
    </xf>
    <xf numFmtId="0" fontId="21" fillId="15" borderId="48" xfId="0" applyFont="1" applyFill="1" applyBorder="1" applyAlignment="1">
      <alignment horizontal="left" vertical="center"/>
    </xf>
    <xf numFmtId="0" fontId="21" fillId="15" borderId="48" xfId="0" applyFont="1" applyFill="1" applyBorder="1" applyAlignment="1">
      <alignment vertical="center" wrapText="1"/>
    </xf>
    <xf numFmtId="4" fontId="21" fillId="15" borderId="48" xfId="0" applyNumberFormat="1" applyFont="1" applyFill="1" applyBorder="1" applyAlignment="1">
      <alignment vertical="center"/>
    </xf>
    <xf numFmtId="4" fontId="33" fillId="15" borderId="48" xfId="0" applyNumberFormat="1" applyFont="1" applyFill="1" applyBorder="1" applyAlignment="1">
      <alignment vertical="center"/>
    </xf>
    <xf numFmtId="165" fontId="21" fillId="15" borderId="65" xfId="0" applyNumberFormat="1" applyFont="1" applyFill="1" applyBorder="1" applyAlignment="1">
      <alignment horizontal="right" vertical="center"/>
    </xf>
    <xf numFmtId="165" fontId="21" fillId="15" borderId="66" xfId="0" applyNumberFormat="1" applyFont="1" applyFill="1" applyBorder="1" applyAlignment="1">
      <alignment horizontal="right" vertical="center"/>
    </xf>
    <xf numFmtId="0" fontId="21" fillId="15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0" fontId="21" fillId="15" borderId="0" xfId="0" applyFont="1" applyFill="1" applyAlignment="1">
      <alignment horizontal="left" vertical="center"/>
    </xf>
    <xf numFmtId="0" fontId="21" fillId="15" borderId="58" xfId="0" applyFont="1" applyFill="1" applyBorder="1" applyAlignment="1">
      <alignment vertical="center" wrapText="1"/>
    </xf>
    <xf numFmtId="4" fontId="33" fillId="15" borderId="39" xfId="0" applyNumberFormat="1" applyFont="1" applyFill="1" applyBorder="1" applyAlignment="1">
      <alignment vertical="center"/>
    </xf>
    <xf numFmtId="4" fontId="21" fillId="15" borderId="38" xfId="0" applyNumberFormat="1" applyFont="1" applyFill="1" applyBorder="1"/>
    <xf numFmtId="0" fontId="21" fillId="15" borderId="35" xfId="0" applyFont="1" applyFill="1" applyBorder="1" applyAlignment="1">
      <alignment horizontal="left" vertical="center"/>
    </xf>
    <xf numFmtId="0" fontId="21" fillId="15" borderId="35" xfId="0" applyFont="1" applyFill="1" applyBorder="1" applyAlignment="1">
      <alignment vertical="center" wrapText="1"/>
    </xf>
    <xf numFmtId="0" fontId="24" fillId="15" borderId="3" xfId="0" applyFont="1" applyFill="1" applyBorder="1" applyAlignment="1">
      <alignment vertical="center" wrapText="1"/>
    </xf>
    <xf numFmtId="0" fontId="21" fillId="15" borderId="1" xfId="0" applyFont="1" applyFill="1" applyBorder="1" applyAlignment="1">
      <alignment vertical="center"/>
    </xf>
    <xf numFmtId="0" fontId="21" fillId="15" borderId="1" xfId="0" applyFont="1" applyFill="1" applyBorder="1" applyAlignment="1">
      <alignment vertical="center" wrapText="1"/>
    </xf>
    <xf numFmtId="0" fontId="21" fillId="15" borderId="48" xfId="0" applyFont="1" applyFill="1" applyBorder="1" applyAlignment="1">
      <alignment vertical="center"/>
    </xf>
    <xf numFmtId="4" fontId="40" fillId="0" borderId="19" xfId="0" applyNumberFormat="1" applyFont="1" applyBorder="1"/>
    <xf numFmtId="164" fontId="7" fillId="0" borderId="37" xfId="0" applyNumberFormat="1" applyFont="1" applyBorder="1"/>
    <xf numFmtId="165" fontId="7" fillId="0" borderId="55" xfId="0" applyNumberFormat="1" applyFont="1" applyBorder="1"/>
    <xf numFmtId="0" fontId="0" fillId="15" borderId="0" xfId="0" applyFill="1"/>
    <xf numFmtId="4" fontId="21" fillId="15" borderId="17" xfId="0" applyNumberFormat="1" applyFont="1" applyFill="1" applyBorder="1"/>
    <xf numFmtId="4" fontId="21" fillId="15" borderId="4" xfId="0" applyNumberFormat="1" applyFont="1" applyFill="1" applyBorder="1"/>
    <xf numFmtId="0" fontId="9" fillId="15" borderId="62" xfId="0" applyFont="1" applyFill="1" applyBorder="1"/>
    <xf numFmtId="0" fontId="9" fillId="15" borderId="36" xfId="0" applyFont="1" applyFill="1" applyBorder="1"/>
    <xf numFmtId="0" fontId="9" fillId="15" borderId="3" xfId="0" applyFont="1" applyFill="1" applyBorder="1"/>
    <xf numFmtId="4" fontId="9" fillId="15" borderId="4" xfId="0" applyNumberFormat="1" applyFont="1" applyFill="1" applyBorder="1"/>
    <xf numFmtId="0" fontId="24" fillId="15" borderId="3" xfId="0" applyFont="1" applyFill="1" applyBorder="1" applyAlignment="1">
      <alignment horizontal="center" vertical="center"/>
    </xf>
    <xf numFmtId="0" fontId="24" fillId="15" borderId="3" xfId="0" applyFont="1" applyFill="1" applyBorder="1" applyAlignment="1">
      <alignment horizontal="left"/>
    </xf>
    <xf numFmtId="0" fontId="24" fillId="15" borderId="3" xfId="0" applyFont="1" applyFill="1" applyBorder="1" applyAlignment="1">
      <alignment wrapText="1"/>
    </xf>
    <xf numFmtId="4" fontId="24" fillId="15" borderId="3" xfId="0" applyNumberFormat="1" applyFont="1" applyFill="1" applyBorder="1"/>
    <xf numFmtId="4" fontId="37" fillId="15" borderId="3" xfId="0" applyNumberFormat="1" applyFont="1" applyFill="1" applyBorder="1"/>
    <xf numFmtId="0" fontId="21" fillId="15" borderId="47" xfId="0" applyFont="1" applyFill="1" applyBorder="1"/>
    <xf numFmtId="0" fontId="9" fillId="15" borderId="36" xfId="0" applyFont="1" applyFill="1" applyBorder="1" applyAlignment="1">
      <alignment horizontal="center" vertical="center"/>
    </xf>
    <xf numFmtId="4" fontId="33" fillId="15" borderId="65" xfId="0" applyNumberFormat="1" applyFont="1" applyFill="1" applyBorder="1"/>
    <xf numFmtId="4" fontId="21" fillId="15" borderId="0" xfId="0" applyNumberFormat="1" applyFont="1" applyFill="1"/>
    <xf numFmtId="0" fontId="21" fillId="15" borderId="3" xfId="0" applyFont="1" applyFill="1" applyBorder="1" applyAlignment="1">
      <alignment wrapText="1"/>
    </xf>
    <xf numFmtId="165" fontId="21" fillId="0" borderId="68" xfId="0" applyNumberFormat="1" applyFont="1" applyBorder="1" applyAlignment="1">
      <alignment horizontal="right"/>
    </xf>
    <xf numFmtId="0" fontId="0" fillId="0" borderId="1" xfId="0" applyBorder="1"/>
    <xf numFmtId="0" fontId="38" fillId="0" borderId="1" xfId="0" applyFont="1" applyBorder="1"/>
    <xf numFmtId="165" fontId="21" fillId="0" borderId="58" xfId="0" applyNumberFormat="1" applyFont="1" applyBorder="1" applyAlignment="1">
      <alignment horizontal="right"/>
    </xf>
    <xf numFmtId="4" fontId="17" fillId="10" borderId="75" xfId="0" applyNumberFormat="1" applyFont="1" applyFill="1" applyBorder="1"/>
    <xf numFmtId="4" fontId="17" fillId="10" borderId="75" xfId="0" applyNumberFormat="1" applyFont="1" applyFill="1" applyBorder="1" applyAlignment="1">
      <alignment vertical="center"/>
    </xf>
    <xf numFmtId="4" fontId="34" fillId="10" borderId="75" xfId="0" applyNumberFormat="1" applyFont="1" applyFill="1" applyBorder="1" applyAlignment="1">
      <alignment vertical="center"/>
    </xf>
    <xf numFmtId="165" fontId="18" fillId="10" borderId="75" xfId="0" applyNumberFormat="1" applyFont="1" applyFill="1" applyBorder="1" applyAlignment="1">
      <alignment horizontal="right" vertical="center"/>
    </xf>
    <xf numFmtId="165" fontId="18" fillId="10" borderId="76" xfId="0" applyNumberFormat="1" applyFont="1" applyFill="1" applyBorder="1" applyAlignment="1">
      <alignment horizontal="right" vertical="center"/>
    </xf>
    <xf numFmtId="0" fontId="4" fillId="0" borderId="51" xfId="0" applyFont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4" fontId="21" fillId="0" borderId="1" xfId="0" applyNumberFormat="1" applyFont="1" applyBorder="1" applyAlignment="1">
      <alignment wrapText="1"/>
    </xf>
    <xf numFmtId="4" fontId="21" fillId="0" borderId="39" xfId="0" applyNumberFormat="1" applyFont="1" applyBorder="1" applyAlignment="1">
      <alignment wrapText="1"/>
    </xf>
    <xf numFmtId="4" fontId="33" fillId="0" borderId="39" xfId="0" applyNumberFormat="1" applyFont="1" applyBorder="1" applyAlignment="1">
      <alignment wrapText="1"/>
    </xf>
    <xf numFmtId="0" fontId="13" fillId="0" borderId="0" xfId="0" applyFont="1" applyAlignment="1">
      <alignment horizontal="center" vertical="center"/>
    </xf>
    <xf numFmtId="0" fontId="15" fillId="6" borderId="46" xfId="0" applyFont="1" applyFill="1" applyBorder="1" applyAlignment="1">
      <alignment horizontal="left" vertical="center"/>
    </xf>
    <xf numFmtId="0" fontId="15" fillId="6" borderId="13" xfId="0" applyFont="1" applyFill="1" applyBorder="1" applyAlignment="1">
      <alignment horizontal="left" vertical="center"/>
    </xf>
    <xf numFmtId="0" fontId="15" fillId="6" borderId="14" xfId="0" applyFont="1" applyFill="1" applyBorder="1" applyAlignment="1">
      <alignment horizontal="left" vertical="center"/>
    </xf>
    <xf numFmtId="0" fontId="14" fillId="6" borderId="46" xfId="0" applyFont="1" applyFill="1" applyBorder="1" applyAlignment="1">
      <alignment horizontal="left"/>
    </xf>
    <xf numFmtId="0" fontId="14" fillId="6" borderId="13" xfId="0" applyFont="1" applyFill="1" applyBorder="1" applyAlignment="1">
      <alignment horizontal="left"/>
    </xf>
    <xf numFmtId="0" fontId="14" fillId="6" borderId="14" xfId="0" applyFont="1" applyFill="1" applyBorder="1" applyAlignment="1">
      <alignment horizontal="left"/>
    </xf>
    <xf numFmtId="165" fontId="3" fillId="7" borderId="19" xfId="0" applyNumberFormat="1" applyFont="1" applyFill="1" applyBorder="1" applyAlignment="1">
      <alignment horizontal="right" wrapText="1"/>
    </xf>
    <xf numFmtId="165" fontId="3" fillId="7" borderId="39" xfId="0" applyNumberFormat="1" applyFont="1" applyFill="1" applyBorder="1" applyAlignment="1">
      <alignment horizontal="right" wrapText="1"/>
    </xf>
    <xf numFmtId="165" fontId="3" fillId="7" borderId="3" xfId="0" applyNumberFormat="1" applyFont="1" applyFill="1" applyBorder="1" applyAlignment="1">
      <alignment horizontal="right" wrapText="1"/>
    </xf>
    <xf numFmtId="0" fontId="19" fillId="5" borderId="46" xfId="0" applyFont="1" applyFill="1" applyBorder="1" applyAlignment="1">
      <alignment horizontal="left"/>
    </xf>
    <xf numFmtId="0" fontId="19" fillId="5" borderId="13" xfId="0" applyFont="1" applyFill="1" applyBorder="1" applyAlignment="1">
      <alignment horizontal="left"/>
    </xf>
    <xf numFmtId="0" fontId="19" fillId="5" borderId="14" xfId="0" applyFont="1" applyFill="1" applyBorder="1" applyAlignment="1">
      <alignment horizontal="left"/>
    </xf>
    <xf numFmtId="0" fontId="24" fillId="7" borderId="39" xfId="0" applyFont="1" applyFill="1" applyBorder="1" applyAlignment="1">
      <alignment vertical="center" wrapText="1"/>
    </xf>
    <xf numFmtId="0" fontId="24" fillId="7" borderId="3" xfId="0" applyFont="1" applyFill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4" fillId="6" borderId="46" xfId="0" applyFont="1" applyFill="1" applyBorder="1" applyAlignment="1">
      <alignment horizontal="left" vertical="center" wrapText="1"/>
    </xf>
    <xf numFmtId="0" fontId="14" fillId="6" borderId="13" xfId="0" applyFont="1" applyFill="1" applyBorder="1" applyAlignment="1">
      <alignment horizontal="left" vertical="center" wrapText="1"/>
    </xf>
    <xf numFmtId="0" fontId="14" fillId="6" borderId="14" xfId="0" applyFont="1" applyFill="1" applyBorder="1" applyAlignment="1">
      <alignment horizontal="left" vertical="center" wrapText="1"/>
    </xf>
    <xf numFmtId="0" fontId="25" fillId="5" borderId="46" xfId="0" applyFont="1" applyFill="1" applyBorder="1" applyAlignment="1">
      <alignment horizontal="left" vertical="top" wrapText="1"/>
    </xf>
    <xf numFmtId="0" fontId="25" fillId="5" borderId="13" xfId="0" applyFont="1" applyFill="1" applyBorder="1" applyAlignment="1">
      <alignment horizontal="left" vertical="top" wrapText="1"/>
    </xf>
    <xf numFmtId="0" fontId="25" fillId="5" borderId="14" xfId="0" applyFont="1" applyFill="1" applyBorder="1" applyAlignment="1">
      <alignment horizontal="left" vertical="top" wrapText="1"/>
    </xf>
    <xf numFmtId="0" fontId="14" fillId="6" borderId="46" xfId="0" applyFont="1" applyFill="1" applyBorder="1" applyAlignment="1">
      <alignment horizontal="left" wrapText="1"/>
    </xf>
    <xf numFmtId="0" fontId="14" fillId="6" borderId="13" xfId="0" applyFont="1" applyFill="1" applyBorder="1" applyAlignment="1">
      <alignment horizontal="left" wrapText="1"/>
    </xf>
    <xf numFmtId="0" fontId="14" fillId="6" borderId="14" xfId="0" applyFont="1" applyFill="1" applyBorder="1" applyAlignment="1">
      <alignment horizontal="left" wrapText="1"/>
    </xf>
    <xf numFmtId="0" fontId="19" fillId="8" borderId="46" xfId="0" applyFont="1" applyFill="1" applyBorder="1" applyAlignment="1">
      <alignment horizontal="left" vertical="center" wrapText="1"/>
    </xf>
    <xf numFmtId="0" fontId="19" fillId="8" borderId="13" xfId="0" applyFont="1" applyFill="1" applyBorder="1" applyAlignment="1">
      <alignment horizontal="left" vertical="center" wrapText="1"/>
    </xf>
    <xf numFmtId="0" fontId="14" fillId="6" borderId="46" xfId="0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 vertical="center"/>
    </xf>
    <xf numFmtId="0" fontId="25" fillId="5" borderId="46" xfId="0" applyFont="1" applyFill="1" applyBorder="1" applyAlignment="1">
      <alignment horizontal="left" vertical="center"/>
    </xf>
    <xf numFmtId="0" fontId="25" fillId="5" borderId="13" xfId="0" applyFont="1" applyFill="1" applyBorder="1" applyAlignment="1">
      <alignment horizontal="left" vertical="center"/>
    </xf>
    <xf numFmtId="0" fontId="26" fillId="0" borderId="46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5" fillId="5" borderId="46" xfId="0" applyFont="1" applyFill="1" applyBorder="1" applyAlignment="1">
      <alignment horizontal="left" vertical="center" wrapText="1"/>
    </xf>
    <xf numFmtId="0" fontId="25" fillId="5" borderId="13" xfId="0" applyFont="1" applyFill="1" applyBorder="1" applyAlignment="1">
      <alignment horizontal="left" vertical="center" wrapText="1"/>
    </xf>
    <xf numFmtId="0" fontId="9" fillId="5" borderId="46" xfId="0" applyFont="1" applyFill="1" applyBorder="1" applyAlignment="1">
      <alignment horizontal="left" vertical="center"/>
    </xf>
    <xf numFmtId="0" fontId="9" fillId="5" borderId="13" xfId="0" applyFont="1" applyFill="1" applyBorder="1" applyAlignment="1">
      <alignment horizontal="left" vertical="center"/>
    </xf>
    <xf numFmtId="0" fontId="19" fillId="5" borderId="46" xfId="0" applyFont="1" applyFill="1" applyBorder="1" applyAlignment="1">
      <alignment horizontal="left" wrapText="1"/>
    </xf>
    <xf numFmtId="0" fontId="19" fillId="5" borderId="13" xfId="0" applyFont="1" applyFill="1" applyBorder="1" applyAlignment="1">
      <alignment horizontal="left" wrapText="1"/>
    </xf>
    <xf numFmtId="0" fontId="19" fillId="5" borderId="14" xfId="0" applyFont="1" applyFill="1" applyBorder="1" applyAlignment="1">
      <alignment horizontal="left" wrapText="1"/>
    </xf>
    <xf numFmtId="0" fontId="15" fillId="6" borderId="46" xfId="0" applyFont="1" applyFill="1" applyBorder="1" applyAlignment="1">
      <alignment horizontal="left" vertical="distributed" wrapText="1"/>
    </xf>
    <xf numFmtId="0" fontId="15" fillId="6" borderId="13" xfId="0" applyFont="1" applyFill="1" applyBorder="1" applyAlignment="1">
      <alignment horizontal="left" vertical="distributed" wrapText="1"/>
    </xf>
    <xf numFmtId="0" fontId="15" fillId="6" borderId="14" xfId="0" applyFont="1" applyFill="1" applyBorder="1" applyAlignment="1">
      <alignment horizontal="left" vertical="distributed" wrapText="1"/>
    </xf>
    <xf numFmtId="0" fontId="25" fillId="5" borderId="46" xfId="0" applyFont="1" applyFill="1" applyBorder="1" applyAlignment="1">
      <alignment horizontal="left"/>
    </xf>
    <xf numFmtId="0" fontId="25" fillId="5" borderId="13" xfId="0" applyFont="1" applyFill="1" applyBorder="1" applyAlignment="1">
      <alignment horizontal="left"/>
    </xf>
    <xf numFmtId="0" fontId="25" fillId="5" borderId="1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6" fillId="0" borderId="0" xfId="0" applyFont="1" applyAlignment="1">
      <alignment horizontal="left" vertical="distributed"/>
    </xf>
    <xf numFmtId="0" fontId="2" fillId="3" borderId="15" xfId="0" applyFont="1" applyFill="1" applyBorder="1" applyAlignment="1">
      <alignment wrapText="1"/>
    </xf>
    <xf numFmtId="0" fontId="2" fillId="3" borderId="16" xfId="0" applyFont="1" applyFill="1" applyBorder="1"/>
    <xf numFmtId="0" fontId="28" fillId="12" borderId="57" xfId="0" applyFont="1" applyFill="1" applyBorder="1" applyAlignment="1">
      <alignment horizontal="center" vertical="center"/>
    </xf>
    <xf numFmtId="0" fontId="28" fillId="12" borderId="67" xfId="0" applyFont="1" applyFill="1" applyBorder="1" applyAlignment="1">
      <alignment horizontal="center" vertical="center"/>
    </xf>
    <xf numFmtId="0" fontId="28" fillId="12" borderId="12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vertical="center"/>
    </xf>
    <xf numFmtId="49" fontId="46" fillId="0" borderId="0" xfId="0" applyNumberFormat="1" applyFont="1" applyAlignment="1">
      <alignment horizontal="left" vertical="center" wrapText="1"/>
    </xf>
    <xf numFmtId="0" fontId="11" fillId="3" borderId="46" xfId="0" applyFont="1" applyFill="1" applyBorder="1" applyAlignment="1">
      <alignment horizontal="center"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/>
    </xf>
    <xf numFmtId="0" fontId="11" fillId="3" borderId="71" xfId="0" applyFont="1" applyFill="1" applyBorder="1" applyAlignment="1">
      <alignment horizontal="center" vertical="center"/>
    </xf>
    <xf numFmtId="0" fontId="11" fillId="3" borderId="72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71" xfId="0" applyFont="1" applyFill="1" applyBorder="1" applyAlignment="1">
      <alignment horizontal="center" vertical="center" wrapText="1"/>
    </xf>
    <xf numFmtId="0" fontId="11" fillId="3" borderId="72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7" fillId="10" borderId="46" xfId="0" applyFont="1" applyFill="1" applyBorder="1" applyAlignment="1">
      <alignment horizontal="center" vertical="center" wrapText="1"/>
    </xf>
    <xf numFmtId="0" fontId="17" fillId="10" borderId="13" xfId="0" applyFont="1" applyFill="1" applyBorder="1" applyAlignment="1">
      <alignment horizontal="center" vertical="center" wrapText="1"/>
    </xf>
    <xf numFmtId="0" fontId="17" fillId="10" borderId="27" xfId="0" applyFont="1" applyFill="1" applyBorder="1" applyAlignment="1">
      <alignment horizontal="center" vertical="center" wrapText="1"/>
    </xf>
    <xf numFmtId="165" fontId="21" fillId="0" borderId="3" xfId="0" applyNumberFormat="1" applyFont="1" applyBorder="1" applyAlignment="1">
      <alignment horizontal="right"/>
    </xf>
    <xf numFmtId="165" fontId="21" fillId="0" borderId="1" xfId="0" applyNumberFormat="1" applyFont="1" applyBorder="1" applyAlignment="1">
      <alignment horizontal="right"/>
    </xf>
    <xf numFmtId="165" fontId="21" fillId="0" borderId="32" xfId="0" applyNumberFormat="1" applyFont="1" applyBorder="1" applyAlignment="1">
      <alignment horizontal="right"/>
    </xf>
    <xf numFmtId="0" fontId="21" fillId="0" borderId="23" xfId="0" applyFont="1" applyBorder="1" applyAlignment="1">
      <alignment horizontal="right"/>
    </xf>
    <xf numFmtId="165" fontId="21" fillId="15" borderId="3" xfId="0" applyNumberFormat="1" applyFont="1" applyFill="1" applyBorder="1" applyAlignment="1">
      <alignment horizontal="right"/>
    </xf>
    <xf numFmtId="165" fontId="21" fillId="15" borderId="1" xfId="0" applyNumberFormat="1" applyFont="1" applyFill="1" applyBorder="1" applyAlignment="1">
      <alignment horizontal="right"/>
    </xf>
    <xf numFmtId="0" fontId="21" fillId="0" borderId="1" xfId="0" applyFont="1" applyBorder="1" applyAlignment="1">
      <alignment horizontal="right"/>
    </xf>
    <xf numFmtId="165" fontId="21" fillId="0" borderId="52" xfId="0" applyNumberFormat="1" applyFont="1" applyBorder="1" applyAlignment="1">
      <alignment horizontal="right"/>
    </xf>
    <xf numFmtId="0" fontId="17" fillId="10" borderId="46" xfId="0" applyFont="1" applyFill="1" applyBorder="1" applyAlignment="1">
      <alignment horizontal="center" vertical="center"/>
    </xf>
    <xf numFmtId="0" fontId="17" fillId="10" borderId="13" xfId="0" applyFont="1" applyFill="1" applyBorder="1" applyAlignment="1">
      <alignment horizontal="center" vertical="center"/>
    </xf>
    <xf numFmtId="0" fontId="17" fillId="10" borderId="27" xfId="0" applyFont="1" applyFill="1" applyBorder="1" applyAlignment="1">
      <alignment horizontal="center" vertical="center"/>
    </xf>
    <xf numFmtId="0" fontId="9" fillId="0" borderId="3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7" fillId="10" borderId="69" xfId="0" applyFont="1" applyFill="1" applyBorder="1" applyAlignment="1">
      <alignment horizontal="center" vertical="center" wrapText="1"/>
    </xf>
    <xf numFmtId="0" fontId="17" fillId="10" borderId="9" xfId="0" applyFont="1" applyFill="1" applyBorder="1" applyAlignment="1">
      <alignment horizontal="center" vertical="center" wrapText="1"/>
    </xf>
    <xf numFmtId="0" fontId="17" fillId="10" borderId="70" xfId="0" applyFont="1" applyFill="1" applyBorder="1" applyAlignment="1">
      <alignment horizontal="center" vertical="center" wrapText="1"/>
    </xf>
    <xf numFmtId="165" fontId="21" fillId="15" borderId="32" xfId="0" applyNumberFormat="1" applyFont="1" applyFill="1" applyBorder="1" applyAlignment="1">
      <alignment horizontal="right"/>
    </xf>
    <xf numFmtId="0" fontId="21" fillId="15" borderId="23" xfId="0" applyFont="1" applyFill="1" applyBorder="1" applyAlignment="1">
      <alignment horizontal="right"/>
    </xf>
    <xf numFmtId="0" fontId="21" fillId="0" borderId="35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38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 wrapText="1"/>
    </xf>
    <xf numFmtId="0" fontId="21" fillId="0" borderId="39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distributed" shrinkToFit="1"/>
    </xf>
    <xf numFmtId="0" fontId="17" fillId="11" borderId="46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 wrapText="1"/>
    </xf>
    <xf numFmtId="0" fontId="17" fillId="11" borderId="27" xfId="0" applyFont="1" applyFill="1" applyBorder="1" applyAlignment="1">
      <alignment horizontal="center" vertical="center" wrapText="1"/>
    </xf>
    <xf numFmtId="0" fontId="30" fillId="9" borderId="46" xfId="0" applyFont="1" applyFill="1" applyBorder="1" applyAlignment="1">
      <alignment horizontal="center" vertical="center" wrapText="1"/>
    </xf>
    <xf numFmtId="0" fontId="30" fillId="9" borderId="13" xfId="0" applyFont="1" applyFill="1" applyBorder="1" applyAlignment="1">
      <alignment horizontal="center" vertical="center" wrapText="1"/>
    </xf>
    <xf numFmtId="0" fontId="30" fillId="9" borderId="27" xfId="0" applyFont="1" applyFill="1" applyBorder="1" applyAlignment="1">
      <alignment horizontal="center" vertical="center" wrapText="1"/>
    </xf>
    <xf numFmtId="165" fontId="21" fillId="0" borderId="73" xfId="0" applyNumberFormat="1" applyFont="1" applyBorder="1" applyAlignment="1">
      <alignment horizontal="right"/>
    </xf>
    <xf numFmtId="165" fontId="21" fillId="0" borderId="56" xfId="0" applyNumberFormat="1" applyFont="1" applyBorder="1" applyAlignment="1">
      <alignment horizontal="right"/>
    </xf>
    <xf numFmtId="0" fontId="9" fillId="15" borderId="3" xfId="0" applyFont="1" applyFill="1" applyBorder="1" applyAlignment="1">
      <alignment vertical="top" wrapText="1"/>
    </xf>
    <xf numFmtId="0" fontId="9" fillId="15" borderId="1" xfId="0" applyFont="1" applyFill="1" applyBorder="1" applyAlignment="1">
      <alignment vertical="top" wrapText="1"/>
    </xf>
    <xf numFmtId="0" fontId="17" fillId="10" borderId="69" xfId="0" applyFont="1" applyFill="1" applyBorder="1" applyAlignment="1">
      <alignment horizontal="center" vertical="center"/>
    </xf>
    <xf numFmtId="0" fontId="17" fillId="10" borderId="9" xfId="0" applyFont="1" applyFill="1" applyBorder="1" applyAlignment="1">
      <alignment horizontal="center" vertical="center"/>
    </xf>
    <xf numFmtId="0" fontId="17" fillId="10" borderId="70" xfId="0" applyFont="1" applyFill="1" applyBorder="1" applyAlignment="1">
      <alignment horizontal="center" vertical="center"/>
    </xf>
    <xf numFmtId="0" fontId="17" fillId="9" borderId="46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0" fontId="17" fillId="9" borderId="27" xfId="0" applyFont="1" applyFill="1" applyBorder="1" applyAlignment="1">
      <alignment horizontal="center" vertical="center" wrapText="1"/>
    </xf>
    <xf numFmtId="0" fontId="17" fillId="10" borderId="74" xfId="0" applyFont="1" applyFill="1" applyBorder="1" applyAlignment="1">
      <alignment horizontal="center" vertical="distributed"/>
    </xf>
    <xf numFmtId="0" fontId="17" fillId="10" borderId="75" xfId="0" applyFont="1" applyFill="1" applyBorder="1" applyAlignment="1">
      <alignment horizontal="center" vertical="distributed"/>
    </xf>
    <xf numFmtId="0" fontId="17" fillId="10" borderId="46" xfId="0" applyFont="1" applyFill="1" applyBorder="1" applyAlignment="1">
      <alignment horizontal="center" wrapText="1"/>
    </xf>
    <xf numFmtId="0" fontId="17" fillId="10" borderId="13" xfId="0" applyFont="1" applyFill="1" applyBorder="1" applyAlignment="1">
      <alignment horizontal="center" wrapText="1"/>
    </xf>
    <xf numFmtId="0" fontId="17" fillId="10" borderId="27" xfId="0" applyFont="1" applyFill="1" applyBorder="1" applyAlignment="1">
      <alignment horizontal="center" wrapText="1"/>
    </xf>
    <xf numFmtId="0" fontId="21" fillId="15" borderId="1" xfId="0" applyFont="1" applyFill="1" applyBorder="1" applyAlignment="1">
      <alignment horizontal="right"/>
    </xf>
    <xf numFmtId="165" fontId="21" fillId="15" borderId="52" xfId="0" applyNumberFormat="1" applyFont="1" applyFill="1" applyBorder="1" applyAlignment="1">
      <alignment horizontal="right"/>
    </xf>
    <xf numFmtId="165" fontId="21" fillId="0" borderId="68" xfId="0" applyNumberFormat="1" applyFont="1" applyBorder="1" applyAlignment="1">
      <alignment horizontal="right"/>
    </xf>
    <xf numFmtId="165" fontId="21" fillId="15" borderId="68" xfId="0" applyNumberFormat="1" applyFont="1" applyFill="1" applyBorder="1" applyAlignment="1">
      <alignment horizontal="right"/>
    </xf>
    <xf numFmtId="165" fontId="21" fillId="15" borderId="56" xfId="0" applyNumberFormat="1" applyFont="1" applyFill="1" applyBorder="1" applyAlignment="1">
      <alignment horizontal="right"/>
    </xf>
    <xf numFmtId="0" fontId="17" fillId="0" borderId="5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10" borderId="69" xfId="0" applyFont="1" applyFill="1" applyBorder="1" applyAlignment="1">
      <alignment horizontal="center" vertical="distributed"/>
    </xf>
    <xf numFmtId="0" fontId="17" fillId="10" borderId="9" xfId="0" applyFont="1" applyFill="1" applyBorder="1" applyAlignment="1">
      <alignment horizontal="center" vertical="distributed"/>
    </xf>
    <xf numFmtId="0" fontId="17" fillId="10" borderId="70" xfId="0" applyFont="1" applyFill="1" applyBorder="1" applyAlignment="1">
      <alignment horizontal="center" vertical="distributed"/>
    </xf>
  </cellXfs>
  <cellStyles count="1">
    <cellStyle name="Normalno" xfId="0" builtinId="0"/>
  </cellStyles>
  <dxfs count="0"/>
  <tableStyles count="0" defaultTableStyle="TableStyleMedium9" defaultPivotStyle="PivotStyleLight16"/>
  <colors>
    <mruColors>
      <color rgb="FFF9EEED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506"/>
  <sheetViews>
    <sheetView view="pageBreakPreview" zoomScale="115" zoomScaleNormal="100" zoomScaleSheetLayoutView="115" workbookViewId="0">
      <selection activeCell="A278" sqref="A278:J278"/>
    </sheetView>
  </sheetViews>
  <sheetFormatPr defaultColWidth="9.109375" defaultRowHeight="13.2" x14ac:dyDescent="0.25"/>
  <cols>
    <col min="1" max="1" width="9" style="2" customWidth="1"/>
    <col min="2" max="2" width="4.109375" style="2" customWidth="1"/>
    <col min="3" max="3" width="7.44140625" style="2" customWidth="1"/>
    <col min="4" max="4" width="60.6640625" style="2" customWidth="1"/>
    <col min="5" max="5" width="20.44140625" style="2" hidden="1" customWidth="1"/>
    <col min="6" max="6" width="14.6640625" style="188" customWidth="1"/>
    <col min="7" max="8" width="14.6640625" style="298" customWidth="1"/>
    <col min="9" max="9" width="6.6640625" style="188" customWidth="1"/>
    <col min="10" max="10" width="7.109375" style="188" customWidth="1"/>
    <col min="11" max="16384" width="9.109375" style="2"/>
  </cols>
  <sheetData>
    <row r="2" spans="1:10" s="99" customFormat="1" ht="16.5" customHeight="1" x14ac:dyDescent="0.25">
      <c r="A2" s="869" t="s">
        <v>171</v>
      </c>
      <c r="B2" s="869"/>
      <c r="C2" s="869"/>
      <c r="D2" s="869"/>
      <c r="E2" s="869"/>
      <c r="F2" s="869"/>
      <c r="G2" s="869"/>
      <c r="H2" s="869"/>
      <c r="I2" s="869"/>
      <c r="J2" s="869"/>
    </row>
    <row r="3" spans="1:10" s="99" customFormat="1" ht="18" customHeight="1" x14ac:dyDescent="0.25">
      <c r="A3" s="869" t="s">
        <v>114</v>
      </c>
      <c r="B3" s="869"/>
      <c r="C3" s="869"/>
      <c r="D3" s="869"/>
      <c r="E3" s="869"/>
      <c r="F3" s="869"/>
      <c r="G3" s="869"/>
      <c r="H3" s="869"/>
      <c r="I3" s="869"/>
      <c r="J3" s="869"/>
    </row>
    <row r="4" spans="1:10" s="99" customFormat="1" ht="30" customHeight="1" x14ac:dyDescent="0.25">
      <c r="A4" s="884" t="s">
        <v>280</v>
      </c>
      <c r="B4" s="884"/>
      <c r="C4" s="884"/>
      <c r="D4" s="884"/>
      <c r="E4" s="884"/>
      <c r="F4" s="884"/>
      <c r="G4" s="884"/>
      <c r="H4" s="884"/>
      <c r="I4" s="884"/>
      <c r="J4" s="884"/>
    </row>
    <row r="5" spans="1:10" ht="13.5" customHeight="1" thickBot="1" x14ac:dyDescent="0.3">
      <c r="A5" s="101"/>
      <c r="B5" s="101"/>
      <c r="C5" s="101"/>
      <c r="D5" s="101"/>
      <c r="E5" s="101"/>
      <c r="F5" s="263"/>
      <c r="G5" s="323"/>
      <c r="H5" s="323"/>
      <c r="I5" s="244"/>
      <c r="J5" s="244"/>
    </row>
    <row r="6" spans="1:10" s="42" customFormat="1" ht="36.75" customHeight="1" thickBot="1" x14ac:dyDescent="0.3">
      <c r="A6" s="333" t="s">
        <v>172</v>
      </c>
      <c r="B6" s="102" t="s">
        <v>109</v>
      </c>
      <c r="C6" s="103" t="s">
        <v>10</v>
      </c>
      <c r="D6" s="104" t="s">
        <v>173</v>
      </c>
      <c r="E6" s="103" t="s">
        <v>174</v>
      </c>
      <c r="F6" s="103" t="s">
        <v>175</v>
      </c>
      <c r="G6" s="321" t="s">
        <v>176</v>
      </c>
      <c r="H6" s="321" t="s">
        <v>177</v>
      </c>
      <c r="I6" s="340" t="s">
        <v>341</v>
      </c>
      <c r="J6" s="341" t="s">
        <v>343</v>
      </c>
    </row>
    <row r="7" spans="1:10" s="277" customFormat="1" ht="10.8" thickBot="1" x14ac:dyDescent="0.3">
      <c r="A7" s="274">
        <v>1</v>
      </c>
      <c r="B7" s="275">
        <v>2</v>
      </c>
      <c r="C7" s="276">
        <v>3</v>
      </c>
      <c r="D7" s="275">
        <v>4</v>
      </c>
      <c r="E7" s="275">
        <v>2</v>
      </c>
      <c r="F7" s="275">
        <v>5</v>
      </c>
      <c r="G7" s="322">
        <v>6</v>
      </c>
      <c r="H7" s="322">
        <v>7</v>
      </c>
      <c r="I7" s="334">
        <v>8</v>
      </c>
      <c r="J7" s="335">
        <v>9</v>
      </c>
    </row>
    <row r="8" spans="1:10" s="236" customFormat="1" ht="36" customHeight="1" thickBot="1" x14ac:dyDescent="0.35">
      <c r="A8" s="894" t="s">
        <v>288</v>
      </c>
      <c r="B8" s="895"/>
      <c r="C8" s="895"/>
      <c r="D8" s="895"/>
      <c r="E8" s="235">
        <f>SUM(E499)</f>
        <v>5608000</v>
      </c>
      <c r="F8" s="278">
        <f>SUM(F499)</f>
        <v>8864000</v>
      </c>
      <c r="G8" s="278">
        <f>SUM(G499)</f>
        <v>5897500</v>
      </c>
      <c r="H8" s="278">
        <f>SUM(H499)</f>
        <v>6257000</v>
      </c>
      <c r="I8" s="265">
        <f>AVERAGE(G8/F8*100)</f>
        <v>66.53316787003611</v>
      </c>
      <c r="J8" s="265">
        <f>AVERAGE(H8/G8*100)</f>
        <v>106.09580330648581</v>
      </c>
    </row>
    <row r="9" spans="1:10" s="228" customFormat="1" ht="18" thickBot="1" x14ac:dyDescent="0.35">
      <c r="A9" s="106"/>
      <c r="B9" s="106"/>
      <c r="C9" s="106"/>
      <c r="D9" s="106"/>
      <c r="E9" s="107"/>
      <c r="F9" s="279"/>
      <c r="G9" s="279"/>
      <c r="H9" s="279"/>
      <c r="I9" s="245"/>
      <c r="J9" s="245"/>
    </row>
    <row r="10" spans="1:10" s="117" customFormat="1" ht="15" customHeight="1" thickBot="1" x14ac:dyDescent="0.35">
      <c r="A10" s="904" t="s">
        <v>269</v>
      </c>
      <c r="B10" s="905"/>
      <c r="C10" s="905"/>
      <c r="D10" s="905"/>
      <c r="E10" s="216">
        <f>SUM(E12+E27)</f>
        <v>61000</v>
      </c>
      <c r="F10" s="281">
        <f>SUM(F12+F27)</f>
        <v>94000</v>
      </c>
      <c r="G10" s="281">
        <f>SUM(G12+G27)</f>
        <v>88000</v>
      </c>
      <c r="H10" s="281">
        <f>SUM(H12+H27)</f>
        <v>87000</v>
      </c>
      <c r="I10" s="246">
        <f>AVERAGE(G10/F10*100)</f>
        <v>93.61702127659575</v>
      </c>
      <c r="J10" s="246">
        <f>AVERAGE(H10/G10*100)</f>
        <v>98.86363636363636</v>
      </c>
    </row>
    <row r="11" spans="1:10" s="174" customFormat="1" ht="17.25" customHeight="1" thickBot="1" x14ac:dyDescent="0.35">
      <c r="A11" s="109"/>
      <c r="B11" s="109"/>
      <c r="C11" s="109"/>
      <c r="D11" s="109"/>
      <c r="E11" s="110"/>
      <c r="F11" s="282"/>
      <c r="G11" s="282"/>
      <c r="H11" s="282"/>
      <c r="I11" s="247"/>
      <c r="J11" s="247"/>
    </row>
    <row r="12" spans="1:10" s="112" customFormat="1" ht="15.75" customHeight="1" thickBot="1" x14ac:dyDescent="0.35">
      <c r="A12" s="870" t="s">
        <v>267</v>
      </c>
      <c r="B12" s="871"/>
      <c r="C12" s="871"/>
      <c r="D12" s="872"/>
      <c r="E12" s="111">
        <f>SUM(E16)</f>
        <v>61000</v>
      </c>
      <c r="F12" s="283">
        <f>SUM(F16)</f>
        <v>69000</v>
      </c>
      <c r="G12" s="283">
        <f>SUM(G16)</f>
        <v>66000</v>
      </c>
      <c r="H12" s="283">
        <f>SUM(H16)</f>
        <v>66000</v>
      </c>
      <c r="I12" s="248">
        <f>AVERAGE(G12/F12*100)</f>
        <v>95.652173913043484</v>
      </c>
      <c r="J12" s="248">
        <f>AVERAGE(H12/G12*100)</f>
        <v>100</v>
      </c>
    </row>
    <row r="13" spans="1:10" s="229" customFormat="1" ht="16.5" customHeight="1" x14ac:dyDescent="0.3">
      <c r="A13" s="113"/>
      <c r="B13" s="113"/>
      <c r="C13" s="113"/>
      <c r="D13" s="113"/>
      <c r="E13" s="114"/>
      <c r="F13" s="284"/>
      <c r="G13" s="284"/>
      <c r="H13" s="284"/>
      <c r="I13" s="247"/>
      <c r="J13" s="247"/>
    </row>
    <row r="14" spans="1:10" s="117" customFormat="1" ht="15.6" x14ac:dyDescent="0.3">
      <c r="A14" s="1"/>
      <c r="B14" s="1"/>
      <c r="C14" s="1"/>
      <c r="D14" s="115" t="s">
        <v>178</v>
      </c>
      <c r="E14" s="116"/>
      <c r="F14" s="285"/>
      <c r="G14" s="285"/>
      <c r="H14" s="324"/>
      <c r="I14" s="253"/>
      <c r="J14" s="253"/>
    </row>
    <row r="15" spans="1:10" s="1" customFormat="1" ht="13.8" x14ac:dyDescent="0.25">
      <c r="D15" s="243" t="s">
        <v>179</v>
      </c>
      <c r="E15" s="118"/>
      <c r="F15" s="286"/>
      <c r="G15" s="286"/>
      <c r="H15" s="325"/>
      <c r="I15" s="254"/>
      <c r="J15" s="254"/>
    </row>
    <row r="16" spans="1:10" s="1" customFormat="1" ht="13.8" x14ac:dyDescent="0.25">
      <c r="A16" s="119"/>
      <c r="B16" s="119"/>
      <c r="C16" s="119"/>
      <c r="D16" s="267" t="s">
        <v>291</v>
      </c>
      <c r="E16" s="120">
        <f>SUM(E17+E23)</f>
        <v>61000</v>
      </c>
      <c r="F16" s="287">
        <f>SUM(F17+F23)</f>
        <v>69000</v>
      </c>
      <c r="G16" s="287">
        <f>SUM(G17+G23)</f>
        <v>66000</v>
      </c>
      <c r="H16" s="329">
        <f>SUM(H17+H23)</f>
        <v>66000</v>
      </c>
      <c r="I16" s="331">
        <f>AVERAGE(G16/F16*100)</f>
        <v>95.652173913043484</v>
      </c>
      <c r="J16" s="331">
        <f>AVERAGE(H16/G16*100)</f>
        <v>100</v>
      </c>
    </row>
    <row r="17" spans="1:10" s="1" customFormat="1" x14ac:dyDescent="0.25">
      <c r="A17" s="151" t="s">
        <v>292</v>
      </c>
      <c r="B17" s="121"/>
      <c r="C17" s="122">
        <v>32</v>
      </c>
      <c r="D17" s="121" t="s">
        <v>180</v>
      </c>
      <c r="E17" s="123">
        <f>SUM(E18+E20)</f>
        <v>50000</v>
      </c>
      <c r="F17" s="288">
        <f>SUM(F18+F20)</f>
        <v>58000</v>
      </c>
      <c r="G17" s="288">
        <v>55000</v>
      </c>
      <c r="H17" s="288">
        <v>55000</v>
      </c>
      <c r="I17" s="330">
        <f>AVERAGE(G17/F17*100)</f>
        <v>94.827586206896555</v>
      </c>
      <c r="J17" s="330">
        <f>AVERAGE(H17/G17*100)</f>
        <v>100</v>
      </c>
    </row>
    <row r="18" spans="1:10" s="150" customFormat="1" ht="13.8" x14ac:dyDescent="0.25">
      <c r="A18" s="151" t="s">
        <v>292</v>
      </c>
      <c r="B18" s="149"/>
      <c r="C18" s="146">
        <v>323</v>
      </c>
      <c r="D18" s="147" t="s">
        <v>56</v>
      </c>
      <c r="E18" s="148">
        <f>SUM(E19)</f>
        <v>0</v>
      </c>
      <c r="F18" s="289">
        <f>SUM(F19)</f>
        <v>5000</v>
      </c>
      <c r="G18" s="289"/>
      <c r="H18" s="289"/>
      <c r="I18" s="330">
        <f t="shared" ref="I18:J25" si="0">AVERAGE(G18/F18*100)</f>
        <v>0</v>
      </c>
      <c r="J18" s="330"/>
    </row>
    <row r="19" spans="1:10" s="132" customFormat="1" ht="13.8" hidden="1" x14ac:dyDescent="0.25">
      <c r="A19" s="151" t="s">
        <v>292</v>
      </c>
      <c r="B19" s="149">
        <v>1</v>
      </c>
      <c r="C19" s="152">
        <v>3233</v>
      </c>
      <c r="D19" s="153" t="s">
        <v>59</v>
      </c>
      <c r="E19" s="154">
        <v>0</v>
      </c>
      <c r="F19" s="290">
        <v>5000</v>
      </c>
      <c r="G19" s="290"/>
      <c r="H19" s="290"/>
      <c r="I19" s="330">
        <f t="shared" si="0"/>
        <v>0</v>
      </c>
      <c r="J19" s="330"/>
    </row>
    <row r="20" spans="1:10" s="124" customFormat="1" ht="13.8" x14ac:dyDescent="0.25">
      <c r="A20" s="151" t="s">
        <v>292</v>
      </c>
      <c r="B20" s="121"/>
      <c r="C20" s="122">
        <v>329</v>
      </c>
      <c r="D20" s="121" t="s">
        <v>65</v>
      </c>
      <c r="E20" s="123">
        <f>SUM(E21:E22)</f>
        <v>50000</v>
      </c>
      <c r="F20" s="288">
        <f>SUM(F21:F22)</f>
        <v>53000</v>
      </c>
      <c r="G20" s="288"/>
      <c r="H20" s="288"/>
      <c r="I20" s="330">
        <f t="shared" si="0"/>
        <v>0</v>
      </c>
      <c r="J20" s="330"/>
    </row>
    <row r="21" spans="1:10" s="124" customFormat="1" ht="13.8" hidden="1" x14ac:dyDescent="0.25">
      <c r="A21" s="151" t="s">
        <v>292</v>
      </c>
      <c r="B21" s="125">
        <v>2</v>
      </c>
      <c r="C21" s="126">
        <v>3291</v>
      </c>
      <c r="D21" s="125" t="s">
        <v>66</v>
      </c>
      <c r="E21" s="127">
        <v>50000</v>
      </c>
      <c r="F21" s="291">
        <v>50000</v>
      </c>
      <c r="G21" s="291"/>
      <c r="H21" s="291"/>
      <c r="I21" s="330">
        <f t="shared" si="0"/>
        <v>0</v>
      </c>
      <c r="J21" s="330"/>
    </row>
    <row r="22" spans="1:10" s="124" customFormat="1" ht="13.8" hidden="1" x14ac:dyDescent="0.25">
      <c r="A22" s="151" t="s">
        <v>292</v>
      </c>
      <c r="B22" s="125">
        <v>3</v>
      </c>
      <c r="C22" s="126">
        <v>3293</v>
      </c>
      <c r="D22" s="125" t="s">
        <v>68</v>
      </c>
      <c r="E22" s="127">
        <v>0</v>
      </c>
      <c r="F22" s="291">
        <v>3000</v>
      </c>
      <c r="G22" s="291"/>
      <c r="H22" s="291"/>
      <c r="I22" s="330">
        <f t="shared" si="0"/>
        <v>0</v>
      </c>
      <c r="J22" s="330"/>
    </row>
    <row r="23" spans="1:10" s="1" customFormat="1" x14ac:dyDescent="0.25">
      <c r="A23" s="151" t="s">
        <v>292</v>
      </c>
      <c r="B23" s="121"/>
      <c r="C23" s="122">
        <v>38</v>
      </c>
      <c r="D23" s="121" t="s">
        <v>85</v>
      </c>
      <c r="E23" s="123">
        <f>SUM(E24)</f>
        <v>11000</v>
      </c>
      <c r="F23" s="288">
        <f>SUM(F24)</f>
        <v>11000</v>
      </c>
      <c r="G23" s="288">
        <v>11000</v>
      </c>
      <c r="H23" s="288">
        <v>11000</v>
      </c>
      <c r="I23" s="330">
        <f t="shared" si="0"/>
        <v>100</v>
      </c>
      <c r="J23" s="330">
        <f t="shared" si="0"/>
        <v>100</v>
      </c>
    </row>
    <row r="24" spans="1:10" s="124" customFormat="1" ht="13.8" x14ac:dyDescent="0.25">
      <c r="A24" s="151" t="s">
        <v>292</v>
      </c>
      <c r="B24" s="121"/>
      <c r="C24" s="122">
        <v>381</v>
      </c>
      <c r="D24" s="121" t="s">
        <v>37</v>
      </c>
      <c r="E24" s="123">
        <f>SUM(E25)</f>
        <v>11000</v>
      </c>
      <c r="F24" s="288">
        <f>SUM(F25)</f>
        <v>11000</v>
      </c>
      <c r="G24" s="288"/>
      <c r="H24" s="288"/>
      <c r="I24" s="330">
        <f t="shared" si="0"/>
        <v>0</v>
      </c>
      <c r="J24" s="330"/>
    </row>
    <row r="25" spans="1:10" s="124" customFormat="1" ht="13.8" hidden="1" x14ac:dyDescent="0.25">
      <c r="A25" s="151" t="s">
        <v>292</v>
      </c>
      <c r="B25" s="125">
        <v>4</v>
      </c>
      <c r="C25" s="126">
        <v>381142</v>
      </c>
      <c r="D25" s="125" t="s">
        <v>83</v>
      </c>
      <c r="E25" s="127">
        <v>11000</v>
      </c>
      <c r="F25" s="291">
        <v>11000</v>
      </c>
      <c r="G25" s="291"/>
      <c r="H25" s="291"/>
      <c r="I25" s="330">
        <f t="shared" si="0"/>
        <v>0</v>
      </c>
      <c r="J25" s="330"/>
    </row>
    <row r="26" spans="1:10" s="124" customFormat="1" ht="14.4" thickBot="1" x14ac:dyDescent="0.3">
      <c r="A26" s="129"/>
      <c r="B26" s="129"/>
      <c r="C26" s="130"/>
      <c r="D26" s="129"/>
      <c r="E26" s="131"/>
      <c r="F26" s="292"/>
      <c r="G26" s="293"/>
      <c r="H26" s="293"/>
      <c r="I26" s="252"/>
      <c r="J26" s="252"/>
    </row>
    <row r="27" spans="1:10" s="112" customFormat="1" ht="15.75" customHeight="1" thickBot="1" x14ac:dyDescent="0.35">
      <c r="A27" s="870" t="s">
        <v>268</v>
      </c>
      <c r="B27" s="871"/>
      <c r="C27" s="871"/>
      <c r="D27" s="872"/>
      <c r="E27" s="111">
        <f>SUM(E31)</f>
        <v>0</v>
      </c>
      <c r="F27" s="283">
        <f>SUM(F31)</f>
        <v>25000</v>
      </c>
      <c r="G27" s="283">
        <f>SUM(G31)</f>
        <v>22000</v>
      </c>
      <c r="H27" s="283">
        <f>SUM(H31)</f>
        <v>21000</v>
      </c>
      <c r="I27" s="248">
        <f>AVERAGE(G27/F27*100)</f>
        <v>88</v>
      </c>
      <c r="J27" s="248">
        <f>AVERAGE(H27/G27*100)</f>
        <v>95.454545454545453</v>
      </c>
    </row>
    <row r="28" spans="1:10" s="229" customFormat="1" ht="16.5" customHeight="1" x14ac:dyDescent="0.3">
      <c r="A28" s="113"/>
      <c r="B28" s="113"/>
      <c r="C28" s="113"/>
      <c r="D28" s="113"/>
      <c r="E28" s="114"/>
      <c r="F28" s="284"/>
      <c r="G28" s="284"/>
      <c r="H28" s="284"/>
      <c r="I28" s="247"/>
      <c r="J28" s="247"/>
    </row>
    <row r="29" spans="1:10" s="117" customFormat="1" ht="15.6" x14ac:dyDescent="0.3">
      <c r="A29" s="1"/>
      <c r="B29" s="1"/>
      <c r="C29" s="1"/>
      <c r="D29" s="115" t="s">
        <v>178</v>
      </c>
      <c r="E29" s="116"/>
      <c r="F29" s="285"/>
      <c r="G29" s="285"/>
      <c r="H29" s="285"/>
      <c r="I29" s="249"/>
      <c r="J29" s="249"/>
    </row>
    <row r="30" spans="1:10" s="1" customFormat="1" ht="13.8" x14ac:dyDescent="0.25">
      <c r="D30" s="243" t="s">
        <v>179</v>
      </c>
      <c r="E30" s="118"/>
      <c r="F30" s="286"/>
      <c r="G30" s="286"/>
      <c r="H30" s="286"/>
      <c r="I30" s="250"/>
      <c r="J30" s="250"/>
    </row>
    <row r="31" spans="1:10" s="1" customFormat="1" ht="13.8" x14ac:dyDescent="0.25">
      <c r="A31" s="119"/>
      <c r="B31" s="119"/>
      <c r="C31" s="119"/>
      <c r="D31" s="267" t="s">
        <v>294</v>
      </c>
      <c r="E31" s="120">
        <f>SUM(E32+E38)</f>
        <v>0</v>
      </c>
      <c r="F31" s="287">
        <f>SUM(F32+F38)</f>
        <v>25000</v>
      </c>
      <c r="G31" s="287">
        <f>SUM(G32+G38)</f>
        <v>22000</v>
      </c>
      <c r="H31" s="287">
        <f>SUM(H32+H38)</f>
        <v>21000</v>
      </c>
      <c r="I31" s="331">
        <f>AVERAGE(G31/F31*100)</f>
        <v>88</v>
      </c>
      <c r="J31" s="331">
        <f>AVERAGE(H31/G31*100)</f>
        <v>95.454545454545453</v>
      </c>
    </row>
    <row r="32" spans="1:10" s="1" customFormat="1" x14ac:dyDescent="0.25">
      <c r="A32" s="151" t="s">
        <v>293</v>
      </c>
      <c r="B32" s="121"/>
      <c r="C32" s="122">
        <v>32</v>
      </c>
      <c r="D32" s="121" t="s">
        <v>180</v>
      </c>
      <c r="E32" s="123">
        <f>SUM(E33+E35)</f>
        <v>0</v>
      </c>
      <c r="F32" s="288">
        <f>SUM(F33+F35)</f>
        <v>22000</v>
      </c>
      <c r="G32" s="288">
        <v>20000</v>
      </c>
      <c r="H32" s="288">
        <v>20000</v>
      </c>
      <c r="I32" s="330">
        <f t="shared" ref="I32:J40" si="1">AVERAGE(G32/F32*100)</f>
        <v>90.909090909090907</v>
      </c>
      <c r="J32" s="330">
        <f t="shared" si="1"/>
        <v>100</v>
      </c>
    </row>
    <row r="33" spans="1:10" s="150" customFormat="1" ht="13.8" x14ac:dyDescent="0.25">
      <c r="A33" s="151" t="s">
        <v>293</v>
      </c>
      <c r="B33" s="149"/>
      <c r="C33" s="146">
        <v>323</v>
      </c>
      <c r="D33" s="147" t="s">
        <v>56</v>
      </c>
      <c r="E33" s="148">
        <f>SUM(E34)</f>
        <v>0</v>
      </c>
      <c r="F33" s="289">
        <f>SUM(F34)</f>
        <v>10000</v>
      </c>
      <c r="G33" s="289"/>
      <c r="H33" s="289"/>
      <c r="I33" s="330">
        <f t="shared" si="1"/>
        <v>0</v>
      </c>
      <c r="J33" s="330"/>
    </row>
    <row r="34" spans="1:10" s="132" customFormat="1" ht="13.8" hidden="1" x14ac:dyDescent="0.25">
      <c r="A34" s="151" t="s">
        <v>293</v>
      </c>
      <c r="B34" s="149">
        <v>5</v>
      </c>
      <c r="C34" s="152">
        <v>3233</v>
      </c>
      <c r="D34" s="153" t="s">
        <v>59</v>
      </c>
      <c r="E34" s="154">
        <v>0</v>
      </c>
      <c r="F34" s="290">
        <v>10000</v>
      </c>
      <c r="G34" s="290"/>
      <c r="H34" s="290"/>
      <c r="I34" s="330">
        <f t="shared" si="1"/>
        <v>0</v>
      </c>
      <c r="J34" s="330"/>
    </row>
    <row r="35" spans="1:10" s="124" customFormat="1" ht="13.8" x14ac:dyDescent="0.25">
      <c r="A35" s="151" t="s">
        <v>293</v>
      </c>
      <c r="B35" s="121"/>
      <c r="C35" s="122">
        <v>329</v>
      </c>
      <c r="D35" s="121" t="s">
        <v>65</v>
      </c>
      <c r="E35" s="123">
        <f>SUM(E36:E37)</f>
        <v>0</v>
      </c>
      <c r="F35" s="288">
        <f>SUM(F36:F37)</f>
        <v>12000</v>
      </c>
      <c r="G35" s="288"/>
      <c r="H35" s="288"/>
      <c r="I35" s="330">
        <f t="shared" si="1"/>
        <v>0</v>
      </c>
      <c r="J35" s="330"/>
    </row>
    <row r="36" spans="1:10" s="124" customFormat="1" ht="13.8" hidden="1" x14ac:dyDescent="0.25">
      <c r="A36" s="151" t="s">
        <v>293</v>
      </c>
      <c r="B36" s="125">
        <v>6</v>
      </c>
      <c r="C36" s="126">
        <v>3293</v>
      </c>
      <c r="D36" s="125" t="s">
        <v>68</v>
      </c>
      <c r="E36" s="127">
        <v>0</v>
      </c>
      <c r="F36" s="291">
        <v>2000</v>
      </c>
      <c r="G36" s="291"/>
      <c r="H36" s="291"/>
      <c r="I36" s="330">
        <f t="shared" si="1"/>
        <v>0</v>
      </c>
      <c r="J36" s="330"/>
    </row>
    <row r="37" spans="1:10" s="124" customFormat="1" ht="13.8" hidden="1" x14ac:dyDescent="0.25">
      <c r="A37" s="151" t="s">
        <v>293</v>
      </c>
      <c r="B37" s="125">
        <v>7</v>
      </c>
      <c r="C37" s="126">
        <v>3299</v>
      </c>
      <c r="D37" s="125" t="s">
        <v>65</v>
      </c>
      <c r="E37" s="127">
        <v>0</v>
      </c>
      <c r="F37" s="291">
        <v>10000</v>
      </c>
      <c r="G37" s="291"/>
      <c r="H37" s="291"/>
      <c r="I37" s="330">
        <f t="shared" si="1"/>
        <v>0</v>
      </c>
      <c r="J37" s="330"/>
    </row>
    <row r="38" spans="1:10" s="1" customFormat="1" x14ac:dyDescent="0.25">
      <c r="A38" s="151" t="s">
        <v>293</v>
      </c>
      <c r="B38" s="121"/>
      <c r="C38" s="122">
        <v>38</v>
      </c>
      <c r="D38" s="121" t="s">
        <v>85</v>
      </c>
      <c r="E38" s="123">
        <f>SUM(E39)</f>
        <v>0</v>
      </c>
      <c r="F38" s="288">
        <f>SUM(F39)</f>
        <v>3000</v>
      </c>
      <c r="G38" s="288">
        <v>2000</v>
      </c>
      <c r="H38" s="288">
        <v>1000</v>
      </c>
      <c r="I38" s="330">
        <f t="shared" si="1"/>
        <v>66.666666666666657</v>
      </c>
      <c r="J38" s="330">
        <f t="shared" si="1"/>
        <v>50</v>
      </c>
    </row>
    <row r="39" spans="1:10" s="124" customFormat="1" ht="13.8" x14ac:dyDescent="0.25">
      <c r="A39" s="151" t="s">
        <v>293</v>
      </c>
      <c r="B39" s="121"/>
      <c r="C39" s="122">
        <v>381</v>
      </c>
      <c r="D39" s="121" t="s">
        <v>37</v>
      </c>
      <c r="E39" s="123">
        <f>SUM(E40)</f>
        <v>0</v>
      </c>
      <c r="F39" s="288">
        <f>SUM(F40)</f>
        <v>3000</v>
      </c>
      <c r="G39" s="288"/>
      <c r="H39" s="288"/>
      <c r="I39" s="330">
        <f t="shared" si="1"/>
        <v>0</v>
      </c>
      <c r="J39" s="330"/>
    </row>
    <row r="40" spans="1:10" s="124" customFormat="1" ht="13.8" hidden="1" x14ac:dyDescent="0.25">
      <c r="A40" s="151" t="s">
        <v>293</v>
      </c>
      <c r="B40" s="125">
        <v>8</v>
      </c>
      <c r="C40" s="126">
        <v>3811</v>
      </c>
      <c r="D40" s="125" t="s">
        <v>37</v>
      </c>
      <c r="E40" s="127">
        <v>0</v>
      </c>
      <c r="F40" s="291">
        <v>3000</v>
      </c>
      <c r="G40" s="291"/>
      <c r="H40" s="291"/>
      <c r="I40" s="330">
        <f t="shared" si="1"/>
        <v>0</v>
      </c>
      <c r="J40" s="330"/>
    </row>
    <row r="41" spans="1:10" s="124" customFormat="1" ht="14.4" thickBot="1" x14ac:dyDescent="0.3">
      <c r="A41" s="129"/>
      <c r="B41" s="129"/>
      <c r="C41" s="130"/>
      <c r="D41" s="129"/>
      <c r="E41" s="131"/>
      <c r="F41" s="293"/>
      <c r="G41" s="293"/>
      <c r="H41" s="293"/>
      <c r="I41" s="252"/>
      <c r="J41" s="252"/>
    </row>
    <row r="42" spans="1:10" s="132" customFormat="1" ht="17.399999999999999" thickBot="1" x14ac:dyDescent="0.35">
      <c r="A42" s="906" t="s">
        <v>270</v>
      </c>
      <c r="B42" s="907"/>
      <c r="C42" s="907"/>
      <c r="D42" s="908"/>
      <c r="E42" s="108">
        <f>SUM(E44)</f>
        <v>2116000</v>
      </c>
      <c r="F42" s="294">
        <f>SUM(F44)</f>
        <v>1273000</v>
      </c>
      <c r="G42" s="294">
        <f>SUM(G44)</f>
        <v>1260000</v>
      </c>
      <c r="H42" s="294">
        <f>SUM(H44)</f>
        <v>1230000</v>
      </c>
      <c r="I42" s="246">
        <f>AVERAGE(G42/F42*100)</f>
        <v>98.978790259230166</v>
      </c>
      <c r="J42" s="246">
        <f>AVERAGE(H42/G42*100)</f>
        <v>97.61904761904762</v>
      </c>
    </row>
    <row r="43" spans="1:10" s="132" customFormat="1" ht="16.2" thickBot="1" x14ac:dyDescent="0.35">
      <c r="A43" s="133"/>
      <c r="B43" s="117"/>
      <c r="C43" s="117"/>
      <c r="D43" s="117"/>
      <c r="E43" s="114"/>
      <c r="F43" s="284"/>
      <c r="G43" s="284"/>
      <c r="H43" s="284"/>
      <c r="I43" s="247"/>
      <c r="J43" s="247"/>
    </row>
    <row r="44" spans="1:10" s="132" customFormat="1" ht="16.2" thickBot="1" x14ac:dyDescent="0.35">
      <c r="A44" s="909" t="s">
        <v>271</v>
      </c>
      <c r="B44" s="910"/>
      <c r="C44" s="910"/>
      <c r="D44" s="911"/>
      <c r="E44" s="111">
        <f>SUM(E48+E66+E101+E111+E118+E125)</f>
        <v>2116000</v>
      </c>
      <c r="F44" s="283">
        <f>SUM(F48+F66+F101+F111+F118+F125)</f>
        <v>1273000</v>
      </c>
      <c r="G44" s="283">
        <f>SUM(G48+G66+G101+G111+G118+G125)</f>
        <v>1260000</v>
      </c>
      <c r="H44" s="283">
        <f>SUM(H48+H66+H101+H111+H118+H125)</f>
        <v>1230000</v>
      </c>
      <c r="I44" s="248">
        <f>AVERAGE(G44/F44*100)</f>
        <v>98.978790259230166</v>
      </c>
      <c r="J44" s="248">
        <f>AVERAGE(H44/G44*100)</f>
        <v>97.61904761904762</v>
      </c>
    </row>
    <row r="45" spans="1:10" s="132" customFormat="1" ht="15.6" x14ac:dyDescent="0.3">
      <c r="A45" s="134"/>
      <c r="B45" s="135"/>
      <c r="C45" s="135"/>
      <c r="D45" s="134"/>
      <c r="E45" s="114"/>
      <c r="F45" s="284"/>
      <c r="G45" s="284"/>
      <c r="H45" s="284"/>
      <c r="I45" s="247"/>
      <c r="J45" s="247"/>
    </row>
    <row r="46" spans="1:10" s="132" customFormat="1" ht="13.8" x14ac:dyDescent="0.25">
      <c r="A46" s="136"/>
      <c r="B46" s="136"/>
      <c r="C46" s="136"/>
      <c r="D46" s="137" t="s">
        <v>181</v>
      </c>
      <c r="E46" s="138"/>
      <c r="F46" s="295"/>
      <c r="G46" s="324"/>
      <c r="H46" s="327"/>
      <c r="I46" s="253"/>
      <c r="J46" s="253"/>
    </row>
    <row r="47" spans="1:10" s="132" customFormat="1" ht="13.8" x14ac:dyDescent="0.25">
      <c r="A47" s="136"/>
      <c r="B47" s="136"/>
      <c r="C47" s="136"/>
      <c r="D47" s="240" t="s">
        <v>182</v>
      </c>
      <c r="E47" s="140"/>
      <c r="F47" s="296"/>
      <c r="G47" s="325"/>
      <c r="H47" s="328"/>
      <c r="I47" s="254"/>
      <c r="J47" s="254"/>
    </row>
    <row r="48" spans="1:10" s="132" customFormat="1" ht="13.8" x14ac:dyDescent="0.25">
      <c r="A48" s="142"/>
      <c r="B48" s="142"/>
      <c r="C48" s="142"/>
      <c r="D48" s="266" t="s">
        <v>272</v>
      </c>
      <c r="E48" s="143">
        <f>SUM(E49+E57)</f>
        <v>694000</v>
      </c>
      <c r="F48" s="297">
        <f>SUM(F49+F57)</f>
        <v>614000</v>
      </c>
      <c r="G48" s="297">
        <f>SUM(G49+G57)</f>
        <v>620000</v>
      </c>
      <c r="H48" s="297">
        <f>SUM(H49+H57)</f>
        <v>625000</v>
      </c>
      <c r="I48" s="331">
        <f>AVERAGE(G48/F48*100)</f>
        <v>100.9771986970684</v>
      </c>
      <c r="J48" s="331">
        <f>AVERAGE(H48/G48*100)</f>
        <v>100.80645161290323</v>
      </c>
    </row>
    <row r="49" spans="1:10" s="132" customFormat="1" ht="13.8" x14ac:dyDescent="0.25">
      <c r="A49" s="151" t="s">
        <v>292</v>
      </c>
      <c r="B49" s="145"/>
      <c r="C49" s="146">
        <v>31</v>
      </c>
      <c r="D49" s="147" t="s">
        <v>41</v>
      </c>
      <c r="E49" s="148">
        <f>SUM(E50+E52+E54)</f>
        <v>613000</v>
      </c>
      <c r="F49" s="289">
        <f>SUM(F50+F52+F54)</f>
        <v>533000</v>
      </c>
      <c r="G49" s="289">
        <v>540000</v>
      </c>
      <c r="H49" s="289">
        <v>550000</v>
      </c>
      <c r="I49" s="330">
        <f t="shared" ref="I49:J62" si="2">AVERAGE(G49/F49*100)</f>
        <v>101.31332082551594</v>
      </c>
      <c r="J49" s="330">
        <f t="shared" si="2"/>
        <v>101.85185185185186</v>
      </c>
    </row>
    <row r="50" spans="1:10" s="150" customFormat="1" ht="13.8" x14ac:dyDescent="0.25">
      <c r="A50" s="151" t="s">
        <v>292</v>
      </c>
      <c r="B50" s="149"/>
      <c r="C50" s="146">
        <v>311</v>
      </c>
      <c r="D50" s="147" t="s">
        <v>183</v>
      </c>
      <c r="E50" s="148">
        <f>SUM(E51)</f>
        <v>500000</v>
      </c>
      <c r="F50" s="289">
        <f>SUM(F51)</f>
        <v>420000</v>
      </c>
      <c r="G50" s="289"/>
      <c r="H50" s="289"/>
      <c r="I50" s="330">
        <f t="shared" si="2"/>
        <v>0</v>
      </c>
      <c r="J50" s="330"/>
    </row>
    <row r="51" spans="1:10" s="132" customFormat="1" ht="13.8" hidden="1" x14ac:dyDescent="0.25">
      <c r="A51" s="151" t="s">
        <v>292</v>
      </c>
      <c r="B51" s="149">
        <v>9</v>
      </c>
      <c r="C51" s="152">
        <v>3111</v>
      </c>
      <c r="D51" s="153" t="s">
        <v>184</v>
      </c>
      <c r="E51" s="154">
        <v>500000</v>
      </c>
      <c r="F51" s="290">
        <v>420000</v>
      </c>
      <c r="G51" s="290"/>
      <c r="H51" s="290"/>
      <c r="I51" s="330">
        <f t="shared" si="2"/>
        <v>0</v>
      </c>
      <c r="J51" s="330"/>
    </row>
    <row r="52" spans="1:10" s="150" customFormat="1" ht="13.8" x14ac:dyDescent="0.25">
      <c r="A52" s="151" t="s">
        <v>292</v>
      </c>
      <c r="B52" s="145"/>
      <c r="C52" s="146">
        <v>312</v>
      </c>
      <c r="D52" s="147" t="s">
        <v>43</v>
      </c>
      <c r="E52" s="148">
        <f>SUM(E53)</f>
        <v>25000</v>
      </c>
      <c r="F52" s="289">
        <f>SUM(F53)</f>
        <v>25000</v>
      </c>
      <c r="G52" s="289"/>
      <c r="H52" s="289"/>
      <c r="I52" s="330">
        <f t="shared" si="2"/>
        <v>0</v>
      </c>
      <c r="J52" s="330"/>
    </row>
    <row r="53" spans="1:10" s="132" customFormat="1" ht="13.8" hidden="1" x14ac:dyDescent="0.25">
      <c r="A53" s="151" t="s">
        <v>292</v>
      </c>
      <c r="B53" s="149">
        <v>10</v>
      </c>
      <c r="C53" s="152">
        <v>3121</v>
      </c>
      <c r="D53" s="153" t="s">
        <v>43</v>
      </c>
      <c r="E53" s="154">
        <v>25000</v>
      </c>
      <c r="F53" s="290">
        <v>25000</v>
      </c>
      <c r="G53" s="290"/>
      <c r="H53" s="290"/>
      <c r="I53" s="330">
        <f t="shared" si="2"/>
        <v>0</v>
      </c>
      <c r="J53" s="330"/>
    </row>
    <row r="54" spans="1:10" s="132" customFormat="1" ht="13.8" x14ac:dyDescent="0.25">
      <c r="A54" s="151" t="s">
        <v>292</v>
      </c>
      <c r="B54" s="145"/>
      <c r="C54" s="146">
        <v>313</v>
      </c>
      <c r="D54" s="147" t="s">
        <v>44</v>
      </c>
      <c r="E54" s="148">
        <f>SUM(E55:E56)</f>
        <v>88000</v>
      </c>
      <c r="F54" s="289">
        <f>SUM(F55:F56)</f>
        <v>88000</v>
      </c>
      <c r="G54" s="289"/>
      <c r="H54" s="289"/>
      <c r="I54" s="330">
        <f t="shared" si="2"/>
        <v>0</v>
      </c>
      <c r="J54" s="330"/>
    </row>
    <row r="55" spans="1:10" s="132" customFormat="1" ht="13.8" hidden="1" x14ac:dyDescent="0.25">
      <c r="A55" s="151" t="s">
        <v>292</v>
      </c>
      <c r="B55" s="149">
        <v>11</v>
      </c>
      <c r="C55" s="152">
        <v>3132</v>
      </c>
      <c r="D55" s="153" t="s">
        <v>185</v>
      </c>
      <c r="E55" s="154">
        <v>75000</v>
      </c>
      <c r="F55" s="290">
        <v>75000</v>
      </c>
      <c r="G55" s="290"/>
      <c r="H55" s="290"/>
      <c r="I55" s="330">
        <f t="shared" si="2"/>
        <v>0</v>
      </c>
      <c r="J55" s="330"/>
    </row>
    <row r="56" spans="1:10" s="132" customFormat="1" ht="13.8" hidden="1" x14ac:dyDescent="0.25">
      <c r="A56" s="151" t="s">
        <v>292</v>
      </c>
      <c r="B56" s="149">
        <v>12</v>
      </c>
      <c r="C56" s="152">
        <v>3133</v>
      </c>
      <c r="D56" s="153" t="s">
        <v>186</v>
      </c>
      <c r="E56" s="154">
        <v>13000</v>
      </c>
      <c r="F56" s="290">
        <v>13000</v>
      </c>
      <c r="G56" s="290"/>
      <c r="H56" s="290"/>
      <c r="I56" s="330">
        <f t="shared" si="2"/>
        <v>0</v>
      </c>
      <c r="J56" s="330"/>
    </row>
    <row r="57" spans="1:10" s="132" customFormat="1" ht="13.8" x14ac:dyDescent="0.25">
      <c r="A57" s="151" t="s">
        <v>292</v>
      </c>
      <c r="B57" s="145"/>
      <c r="C57" s="146">
        <v>32</v>
      </c>
      <c r="D57" s="147" t="s">
        <v>47</v>
      </c>
      <c r="E57" s="148">
        <f>SUM(E58)</f>
        <v>81000</v>
      </c>
      <c r="F57" s="289">
        <f>SUM(F58)</f>
        <v>81000</v>
      </c>
      <c r="G57" s="289">
        <v>80000</v>
      </c>
      <c r="H57" s="289">
        <v>75000</v>
      </c>
      <c r="I57" s="330">
        <f t="shared" si="2"/>
        <v>98.76543209876543</v>
      </c>
      <c r="J57" s="330">
        <f t="shared" si="2"/>
        <v>93.75</v>
      </c>
    </row>
    <row r="58" spans="1:10" s="132" customFormat="1" ht="13.8" x14ac:dyDescent="0.25">
      <c r="A58" s="151" t="s">
        <v>292</v>
      </c>
      <c r="B58" s="145"/>
      <c r="C58" s="146">
        <v>321</v>
      </c>
      <c r="D58" s="147" t="s">
        <v>48</v>
      </c>
      <c r="E58" s="148">
        <f>SUM(E59:E62)</f>
        <v>81000</v>
      </c>
      <c r="F58" s="289">
        <f>SUM(F59:F62)</f>
        <v>81000</v>
      </c>
      <c r="G58" s="289"/>
      <c r="H58" s="289"/>
      <c r="I58" s="330">
        <f t="shared" si="2"/>
        <v>0</v>
      </c>
      <c r="J58" s="330"/>
    </row>
    <row r="59" spans="1:10" s="155" customFormat="1" ht="13.8" hidden="1" x14ac:dyDescent="0.25">
      <c r="A59" s="151" t="s">
        <v>292</v>
      </c>
      <c r="B59" s="149">
        <v>13</v>
      </c>
      <c r="C59" s="152">
        <v>3211</v>
      </c>
      <c r="D59" s="153" t="s">
        <v>49</v>
      </c>
      <c r="E59" s="154">
        <v>30000</v>
      </c>
      <c r="F59" s="290">
        <v>30000</v>
      </c>
      <c r="G59" s="290"/>
      <c r="H59" s="290"/>
      <c r="I59" s="330">
        <f t="shared" si="2"/>
        <v>0</v>
      </c>
      <c r="J59" s="330"/>
    </row>
    <row r="60" spans="1:10" s="150" customFormat="1" ht="13.8" hidden="1" x14ac:dyDescent="0.25">
      <c r="A60" s="151" t="s">
        <v>292</v>
      </c>
      <c r="B60" s="149">
        <v>14</v>
      </c>
      <c r="C60" s="152">
        <v>3212</v>
      </c>
      <c r="D60" s="153" t="s">
        <v>50</v>
      </c>
      <c r="E60" s="154">
        <v>26000</v>
      </c>
      <c r="F60" s="290">
        <v>26000</v>
      </c>
      <c r="G60" s="290"/>
      <c r="H60" s="290"/>
      <c r="I60" s="330">
        <f t="shared" si="2"/>
        <v>0</v>
      </c>
      <c r="J60" s="330"/>
    </row>
    <row r="61" spans="1:10" s="132" customFormat="1" ht="13.8" hidden="1" x14ac:dyDescent="0.25">
      <c r="A61" s="151" t="s">
        <v>292</v>
      </c>
      <c r="B61" s="149">
        <v>15</v>
      </c>
      <c r="C61" s="152">
        <v>3213</v>
      </c>
      <c r="D61" s="153" t="s">
        <v>51</v>
      </c>
      <c r="E61" s="154">
        <v>10000</v>
      </c>
      <c r="F61" s="290">
        <v>10000</v>
      </c>
      <c r="G61" s="290"/>
      <c r="H61" s="290"/>
      <c r="I61" s="330">
        <f t="shared" si="2"/>
        <v>0</v>
      </c>
      <c r="J61" s="330"/>
    </row>
    <row r="62" spans="1:10" s="132" customFormat="1" ht="13.8" hidden="1" x14ac:dyDescent="0.25">
      <c r="A62" s="151" t="s">
        <v>292</v>
      </c>
      <c r="B62" s="149">
        <v>16</v>
      </c>
      <c r="C62" s="152">
        <v>3214</v>
      </c>
      <c r="D62" s="153" t="s">
        <v>187</v>
      </c>
      <c r="E62" s="154">
        <v>15000</v>
      </c>
      <c r="F62" s="290">
        <v>15000</v>
      </c>
      <c r="G62" s="290"/>
      <c r="H62" s="290"/>
      <c r="I62" s="330">
        <f t="shared" si="2"/>
        <v>0</v>
      </c>
      <c r="J62" s="330"/>
    </row>
    <row r="63" spans="1:10" s="132" customFormat="1" ht="13.8" x14ac:dyDescent="0.25">
      <c r="A63" s="156"/>
      <c r="B63" s="2"/>
      <c r="C63" s="157"/>
      <c r="D63" s="158"/>
      <c r="E63" s="159"/>
      <c r="F63" s="298"/>
      <c r="G63" s="298"/>
      <c r="H63" s="298"/>
      <c r="I63" s="247"/>
      <c r="J63" s="247"/>
    </row>
    <row r="64" spans="1:10" s="132" customFormat="1" ht="13.8" x14ac:dyDescent="0.25">
      <c r="A64" s="160"/>
      <c r="B64" s="160"/>
      <c r="C64" s="160"/>
      <c r="D64" s="161" t="s">
        <v>178</v>
      </c>
      <c r="E64" s="139"/>
      <c r="F64" s="295"/>
      <c r="G64" s="295"/>
      <c r="H64" s="324"/>
      <c r="I64" s="253"/>
      <c r="J64" s="253"/>
    </row>
    <row r="65" spans="1:10" s="1" customFormat="1" ht="13.8" x14ac:dyDescent="0.25">
      <c r="A65" s="160"/>
      <c r="B65" s="160"/>
      <c r="C65" s="160"/>
      <c r="D65" s="242" t="s">
        <v>188</v>
      </c>
      <c r="E65" s="141"/>
      <c r="F65" s="296"/>
      <c r="G65" s="296"/>
      <c r="H65" s="325"/>
      <c r="I65" s="254"/>
      <c r="J65" s="254"/>
    </row>
    <row r="66" spans="1:10" s="1" customFormat="1" ht="13.8" x14ac:dyDescent="0.25">
      <c r="A66" s="162"/>
      <c r="B66" s="162"/>
      <c r="C66" s="162"/>
      <c r="D66" s="266" t="s">
        <v>290</v>
      </c>
      <c r="E66" s="144">
        <f>SUM(E67+E91)</f>
        <v>1335000</v>
      </c>
      <c r="F66" s="299">
        <f>SUM(F67+F91)</f>
        <v>554000</v>
      </c>
      <c r="G66" s="299">
        <f>SUM(G67+G91)</f>
        <v>545000</v>
      </c>
      <c r="H66" s="299">
        <f>SUM(H67+H91)</f>
        <v>515000</v>
      </c>
      <c r="I66" s="331">
        <f>AVERAGE(G66/F66*100)</f>
        <v>98.375451263537911</v>
      </c>
      <c r="J66" s="331">
        <f>AVERAGE(H66/G66*100)</f>
        <v>94.495412844036693</v>
      </c>
    </row>
    <row r="67" spans="1:10" s="1" customFormat="1" x14ac:dyDescent="0.25">
      <c r="A67" s="151" t="s">
        <v>306</v>
      </c>
      <c r="B67" s="145"/>
      <c r="C67" s="146">
        <v>32</v>
      </c>
      <c r="D67" s="147" t="s">
        <v>47</v>
      </c>
      <c r="E67" s="148">
        <f>SUM(E68+E73+E82+E84)</f>
        <v>1314000</v>
      </c>
      <c r="F67" s="289">
        <f>SUM(F68+F73+F82+F84)</f>
        <v>541000</v>
      </c>
      <c r="G67" s="289">
        <v>530000</v>
      </c>
      <c r="H67" s="289">
        <v>500000</v>
      </c>
      <c r="I67" s="330">
        <f>AVERAGE(G67/F67*100)</f>
        <v>97.966728280961178</v>
      </c>
      <c r="J67" s="330">
        <f>AVERAGE(H67/G67*100)</f>
        <v>94.339622641509436</v>
      </c>
    </row>
    <row r="68" spans="1:10" s="150" customFormat="1" ht="13.8" x14ac:dyDescent="0.25">
      <c r="A68" s="151" t="s">
        <v>306</v>
      </c>
      <c r="B68" s="145"/>
      <c r="C68" s="146">
        <v>322</v>
      </c>
      <c r="D68" s="147" t="s">
        <v>52</v>
      </c>
      <c r="E68" s="148">
        <f>SUM(E69:E72)</f>
        <v>293000</v>
      </c>
      <c r="F68" s="289">
        <f>SUM(F69:F72)</f>
        <v>225000</v>
      </c>
      <c r="G68" s="289"/>
      <c r="H68" s="289"/>
      <c r="I68" s="330">
        <f t="shared" ref="I68:I91" si="3">AVERAGE(G68/F68*100)</f>
        <v>0</v>
      </c>
      <c r="J68" s="330"/>
    </row>
    <row r="69" spans="1:10" s="150" customFormat="1" ht="13.8" hidden="1" x14ac:dyDescent="0.25">
      <c r="A69" s="151" t="s">
        <v>306</v>
      </c>
      <c r="B69" s="149">
        <v>17</v>
      </c>
      <c r="C69" s="152">
        <v>3221</v>
      </c>
      <c r="D69" s="153" t="s">
        <v>53</v>
      </c>
      <c r="E69" s="154">
        <v>15000</v>
      </c>
      <c r="F69" s="290">
        <v>15000</v>
      </c>
      <c r="G69" s="290"/>
      <c r="H69" s="290"/>
      <c r="I69" s="330">
        <f t="shared" si="3"/>
        <v>0</v>
      </c>
      <c r="J69" s="330"/>
    </row>
    <row r="70" spans="1:10" s="132" customFormat="1" ht="13.8" hidden="1" x14ac:dyDescent="0.25">
      <c r="A70" s="151" t="s">
        <v>306</v>
      </c>
      <c r="B70" s="149">
        <v>18</v>
      </c>
      <c r="C70" s="152">
        <v>3223</v>
      </c>
      <c r="D70" s="153" t="s">
        <v>54</v>
      </c>
      <c r="E70" s="154">
        <v>250000</v>
      </c>
      <c r="F70" s="290">
        <v>200000</v>
      </c>
      <c r="G70" s="290"/>
      <c r="H70" s="290"/>
      <c r="I70" s="330">
        <f t="shared" si="3"/>
        <v>0</v>
      </c>
      <c r="J70" s="330"/>
    </row>
    <row r="71" spans="1:10" s="132" customFormat="1" ht="13.8" hidden="1" x14ac:dyDescent="0.25">
      <c r="A71" s="151" t="s">
        <v>306</v>
      </c>
      <c r="B71" s="149">
        <v>19</v>
      </c>
      <c r="C71" s="152">
        <v>3224</v>
      </c>
      <c r="D71" s="153" t="s">
        <v>189</v>
      </c>
      <c r="E71" s="154">
        <v>20000</v>
      </c>
      <c r="F71" s="290">
        <v>5000</v>
      </c>
      <c r="G71" s="290"/>
      <c r="H71" s="290"/>
      <c r="I71" s="330">
        <f t="shared" si="3"/>
        <v>0</v>
      </c>
      <c r="J71" s="330"/>
    </row>
    <row r="72" spans="1:10" s="132" customFormat="1" ht="13.8" hidden="1" x14ac:dyDescent="0.25">
      <c r="A72" s="151" t="s">
        <v>306</v>
      </c>
      <c r="B72" s="149">
        <v>20</v>
      </c>
      <c r="C72" s="152">
        <v>3225</v>
      </c>
      <c r="D72" s="153" t="s">
        <v>190</v>
      </c>
      <c r="E72" s="154">
        <v>8000</v>
      </c>
      <c r="F72" s="290">
        <v>5000</v>
      </c>
      <c r="G72" s="290"/>
      <c r="H72" s="290"/>
      <c r="I72" s="330">
        <f t="shared" si="3"/>
        <v>0</v>
      </c>
      <c r="J72" s="330"/>
    </row>
    <row r="73" spans="1:10" s="132" customFormat="1" ht="13.8" x14ac:dyDescent="0.25">
      <c r="A73" s="151" t="s">
        <v>306</v>
      </c>
      <c r="B73" s="121"/>
      <c r="C73" s="163">
        <v>323</v>
      </c>
      <c r="D73" s="164" t="s">
        <v>56</v>
      </c>
      <c r="E73" s="148">
        <f>SUM(E74:E81)</f>
        <v>896000</v>
      </c>
      <c r="F73" s="289">
        <f>SUM(F74:F81)</f>
        <v>225000</v>
      </c>
      <c r="G73" s="289"/>
      <c r="H73" s="289"/>
      <c r="I73" s="330">
        <f t="shared" si="3"/>
        <v>0</v>
      </c>
      <c r="J73" s="330"/>
    </row>
    <row r="74" spans="1:10" s="1" customFormat="1" hidden="1" x14ac:dyDescent="0.25">
      <c r="A74" s="151" t="s">
        <v>306</v>
      </c>
      <c r="B74" s="125">
        <v>21</v>
      </c>
      <c r="C74" s="165">
        <v>3231</v>
      </c>
      <c r="D74" s="166" t="s">
        <v>57</v>
      </c>
      <c r="E74" s="127">
        <v>35000</v>
      </c>
      <c r="F74" s="291">
        <v>30000</v>
      </c>
      <c r="G74" s="291"/>
      <c r="H74" s="291"/>
      <c r="I74" s="330">
        <f t="shared" si="3"/>
        <v>0</v>
      </c>
      <c r="J74" s="330"/>
    </row>
    <row r="75" spans="1:10" s="1" customFormat="1" hidden="1" x14ac:dyDescent="0.25">
      <c r="A75" s="151" t="s">
        <v>306</v>
      </c>
      <c r="B75" s="125">
        <v>22</v>
      </c>
      <c r="C75" s="165">
        <v>3232</v>
      </c>
      <c r="D75" s="166" t="s">
        <v>191</v>
      </c>
      <c r="E75" s="127">
        <v>500000</v>
      </c>
      <c r="F75" s="291">
        <v>5000</v>
      </c>
      <c r="G75" s="291"/>
      <c r="H75" s="291"/>
      <c r="I75" s="330">
        <f t="shared" si="3"/>
        <v>0</v>
      </c>
      <c r="J75" s="330"/>
    </row>
    <row r="76" spans="1:10" s="150" customFormat="1" ht="13.8" hidden="1" x14ac:dyDescent="0.25">
      <c r="A76" s="151" t="s">
        <v>306</v>
      </c>
      <c r="B76" s="125">
        <v>23</v>
      </c>
      <c r="C76" s="165">
        <v>3233</v>
      </c>
      <c r="D76" s="125" t="s">
        <v>59</v>
      </c>
      <c r="E76" s="127">
        <v>30000</v>
      </c>
      <c r="F76" s="291">
        <v>10000</v>
      </c>
      <c r="G76" s="291"/>
      <c r="H76" s="291"/>
      <c r="I76" s="330">
        <f t="shared" si="3"/>
        <v>0</v>
      </c>
      <c r="J76" s="330"/>
    </row>
    <row r="77" spans="1:10" s="150" customFormat="1" ht="13.8" hidden="1" x14ac:dyDescent="0.25">
      <c r="A77" s="151" t="s">
        <v>306</v>
      </c>
      <c r="B77" s="125">
        <v>24</v>
      </c>
      <c r="C77" s="165">
        <v>3234</v>
      </c>
      <c r="D77" s="125" t="s">
        <v>60</v>
      </c>
      <c r="E77" s="127">
        <v>120000</v>
      </c>
      <c r="F77" s="291">
        <v>35000</v>
      </c>
      <c r="G77" s="291"/>
      <c r="H77" s="291"/>
      <c r="I77" s="330">
        <f t="shared" si="3"/>
        <v>0</v>
      </c>
      <c r="J77" s="330"/>
    </row>
    <row r="78" spans="1:10" s="132" customFormat="1" ht="26.4" hidden="1" x14ac:dyDescent="0.25">
      <c r="A78" s="151" t="s">
        <v>306</v>
      </c>
      <c r="B78" s="125">
        <v>25</v>
      </c>
      <c r="C78" s="165">
        <v>3236</v>
      </c>
      <c r="D78" s="166" t="s">
        <v>192</v>
      </c>
      <c r="E78" s="127">
        <v>1000</v>
      </c>
      <c r="F78" s="291">
        <v>5000</v>
      </c>
      <c r="G78" s="291"/>
      <c r="H78" s="291"/>
      <c r="I78" s="330">
        <f t="shared" si="3"/>
        <v>0</v>
      </c>
      <c r="J78" s="330"/>
    </row>
    <row r="79" spans="1:10" s="95" customFormat="1" hidden="1" x14ac:dyDescent="0.25">
      <c r="A79" s="151" t="s">
        <v>306</v>
      </c>
      <c r="B79" s="125">
        <v>26</v>
      </c>
      <c r="C79" s="165">
        <v>3237</v>
      </c>
      <c r="D79" s="166" t="s">
        <v>62</v>
      </c>
      <c r="E79" s="127">
        <v>180000</v>
      </c>
      <c r="F79" s="291">
        <v>130000</v>
      </c>
      <c r="G79" s="291"/>
      <c r="H79" s="291"/>
      <c r="I79" s="330">
        <f t="shared" si="3"/>
        <v>0</v>
      </c>
      <c r="J79" s="330"/>
    </row>
    <row r="80" spans="1:10" s="95" customFormat="1" hidden="1" x14ac:dyDescent="0.25">
      <c r="A80" s="151" t="s">
        <v>306</v>
      </c>
      <c r="B80" s="125">
        <v>27</v>
      </c>
      <c r="C80" s="165">
        <v>3238</v>
      </c>
      <c r="D80" s="166" t="s">
        <v>63</v>
      </c>
      <c r="E80" s="127">
        <v>5000</v>
      </c>
      <c r="F80" s="291">
        <v>5000</v>
      </c>
      <c r="G80" s="291"/>
      <c r="H80" s="291"/>
      <c r="I80" s="330">
        <f t="shared" si="3"/>
        <v>0</v>
      </c>
      <c r="J80" s="330"/>
    </row>
    <row r="81" spans="1:10" s="95" customFormat="1" hidden="1" x14ac:dyDescent="0.25">
      <c r="A81" s="151" t="s">
        <v>306</v>
      </c>
      <c r="B81" s="125">
        <v>28</v>
      </c>
      <c r="C81" s="165">
        <v>3239</v>
      </c>
      <c r="D81" s="166" t="s">
        <v>64</v>
      </c>
      <c r="E81" s="127">
        <v>25000</v>
      </c>
      <c r="F81" s="291">
        <v>5000</v>
      </c>
      <c r="G81" s="291"/>
      <c r="H81" s="291"/>
      <c r="I81" s="330">
        <f t="shared" si="3"/>
        <v>0</v>
      </c>
      <c r="J81" s="330"/>
    </row>
    <row r="82" spans="1:10" s="150" customFormat="1" ht="13.8" x14ac:dyDescent="0.25">
      <c r="A82" s="151" t="s">
        <v>306</v>
      </c>
      <c r="B82" s="121"/>
      <c r="C82" s="163">
        <v>324</v>
      </c>
      <c r="D82" s="164" t="s">
        <v>142</v>
      </c>
      <c r="E82" s="148">
        <f>SUM(E83)</f>
        <v>1000</v>
      </c>
      <c r="F82" s="289">
        <f>SUM(F83)</f>
        <v>6000</v>
      </c>
      <c r="G82" s="289"/>
      <c r="H82" s="289"/>
      <c r="I82" s="330">
        <f t="shared" si="3"/>
        <v>0</v>
      </c>
      <c r="J82" s="330"/>
    </row>
    <row r="83" spans="1:10" s="150" customFormat="1" ht="13.8" hidden="1" x14ac:dyDescent="0.25">
      <c r="A83" s="151" t="s">
        <v>306</v>
      </c>
      <c r="B83" s="125">
        <v>29</v>
      </c>
      <c r="C83" s="165">
        <v>3241</v>
      </c>
      <c r="D83" s="166" t="s">
        <v>142</v>
      </c>
      <c r="E83" s="127">
        <v>1000</v>
      </c>
      <c r="F83" s="291">
        <v>6000</v>
      </c>
      <c r="G83" s="291"/>
      <c r="H83" s="291"/>
      <c r="I83" s="330">
        <f t="shared" si="3"/>
        <v>0</v>
      </c>
      <c r="J83" s="330"/>
    </row>
    <row r="84" spans="1:10" s="132" customFormat="1" ht="13.8" x14ac:dyDescent="0.25">
      <c r="A84" s="151" t="s">
        <v>306</v>
      </c>
      <c r="B84" s="121"/>
      <c r="C84" s="163">
        <v>329</v>
      </c>
      <c r="D84" s="164" t="s">
        <v>65</v>
      </c>
      <c r="E84" s="123">
        <f>SUM(E85:E90)</f>
        <v>124000</v>
      </c>
      <c r="F84" s="288">
        <f>SUM(F85:F90)</f>
        <v>85000</v>
      </c>
      <c r="G84" s="288"/>
      <c r="H84" s="288"/>
      <c r="I84" s="330">
        <f t="shared" si="3"/>
        <v>0</v>
      </c>
      <c r="J84" s="330"/>
    </row>
    <row r="85" spans="1:10" s="1" customFormat="1" hidden="1" x14ac:dyDescent="0.25">
      <c r="A85" s="151" t="s">
        <v>306</v>
      </c>
      <c r="B85" s="125">
        <v>30</v>
      </c>
      <c r="C85" s="165">
        <v>3292</v>
      </c>
      <c r="D85" s="166" t="s">
        <v>67</v>
      </c>
      <c r="E85" s="127">
        <v>12000</v>
      </c>
      <c r="F85" s="291">
        <v>17000</v>
      </c>
      <c r="G85" s="291"/>
      <c r="H85" s="291"/>
      <c r="I85" s="330">
        <f t="shared" si="3"/>
        <v>0</v>
      </c>
      <c r="J85" s="330"/>
    </row>
    <row r="86" spans="1:10" s="1" customFormat="1" hidden="1" x14ac:dyDescent="0.25">
      <c r="A86" s="151" t="s">
        <v>306</v>
      </c>
      <c r="B86" s="125">
        <v>31</v>
      </c>
      <c r="C86" s="165">
        <v>3293</v>
      </c>
      <c r="D86" s="166" t="s">
        <v>68</v>
      </c>
      <c r="E86" s="127">
        <v>80000</v>
      </c>
      <c r="F86" s="291">
        <v>50000</v>
      </c>
      <c r="G86" s="291"/>
      <c r="H86" s="291"/>
      <c r="I86" s="330">
        <f t="shared" si="3"/>
        <v>0</v>
      </c>
      <c r="J86" s="330"/>
    </row>
    <row r="87" spans="1:10" s="1" customFormat="1" hidden="1" x14ac:dyDescent="0.25">
      <c r="A87" s="151" t="s">
        <v>306</v>
      </c>
      <c r="B87" s="125">
        <v>32</v>
      </c>
      <c r="C87" s="165">
        <v>3294</v>
      </c>
      <c r="D87" s="166" t="s">
        <v>69</v>
      </c>
      <c r="E87" s="127">
        <v>4000</v>
      </c>
      <c r="F87" s="291">
        <v>5000</v>
      </c>
      <c r="G87" s="291"/>
      <c r="H87" s="291"/>
      <c r="I87" s="330">
        <f t="shared" si="3"/>
        <v>0</v>
      </c>
      <c r="J87" s="330"/>
    </row>
    <row r="88" spans="1:10" s="150" customFormat="1" ht="13.8" hidden="1" x14ac:dyDescent="0.25">
      <c r="A88" s="151" t="s">
        <v>306</v>
      </c>
      <c r="B88" s="125">
        <v>33</v>
      </c>
      <c r="C88" s="165">
        <v>3295</v>
      </c>
      <c r="D88" s="166" t="s">
        <v>193</v>
      </c>
      <c r="E88" s="127">
        <v>4000</v>
      </c>
      <c r="F88" s="291">
        <v>4000</v>
      </c>
      <c r="G88" s="291"/>
      <c r="H88" s="291"/>
      <c r="I88" s="330">
        <f t="shared" si="3"/>
        <v>0</v>
      </c>
      <c r="J88" s="330"/>
    </row>
    <row r="89" spans="1:10" s="150" customFormat="1" ht="13.8" hidden="1" x14ac:dyDescent="0.25">
      <c r="A89" s="151" t="s">
        <v>306</v>
      </c>
      <c r="B89" s="125">
        <v>34</v>
      </c>
      <c r="C89" s="165">
        <v>3296</v>
      </c>
      <c r="D89" s="166" t="s">
        <v>194</v>
      </c>
      <c r="E89" s="127">
        <v>0</v>
      </c>
      <c r="F89" s="291">
        <v>1000</v>
      </c>
      <c r="G89" s="291"/>
      <c r="H89" s="291"/>
      <c r="I89" s="330">
        <f t="shared" si="3"/>
        <v>0</v>
      </c>
      <c r="J89" s="330"/>
    </row>
    <row r="90" spans="1:10" s="150" customFormat="1" ht="13.8" hidden="1" x14ac:dyDescent="0.25">
      <c r="A90" s="151" t="s">
        <v>306</v>
      </c>
      <c r="B90" s="125">
        <v>35</v>
      </c>
      <c r="C90" s="165">
        <v>3299</v>
      </c>
      <c r="D90" s="166" t="s">
        <v>65</v>
      </c>
      <c r="E90" s="127">
        <v>24000</v>
      </c>
      <c r="F90" s="291">
        <v>8000</v>
      </c>
      <c r="G90" s="291"/>
      <c r="H90" s="291"/>
      <c r="I90" s="330">
        <f t="shared" si="3"/>
        <v>0</v>
      </c>
      <c r="J90" s="330"/>
    </row>
    <row r="91" spans="1:10" s="132" customFormat="1" ht="13.8" x14ac:dyDescent="0.25">
      <c r="A91" s="151" t="s">
        <v>306</v>
      </c>
      <c r="B91" s="167"/>
      <c r="C91" s="168">
        <v>34</v>
      </c>
      <c r="D91" s="169" t="s">
        <v>70</v>
      </c>
      <c r="E91" s="170">
        <f>SUM(E92+E94)</f>
        <v>21000</v>
      </c>
      <c r="F91" s="300">
        <f>SUM(F94)</f>
        <v>13000</v>
      </c>
      <c r="G91" s="300">
        <v>15000</v>
      </c>
      <c r="H91" s="300">
        <v>15000</v>
      </c>
      <c r="I91" s="330">
        <f t="shared" si="3"/>
        <v>115.38461538461537</v>
      </c>
      <c r="J91" s="330">
        <f>AVERAGE(H91/G91*100)</f>
        <v>100</v>
      </c>
    </row>
    <row r="92" spans="1:10" s="150" customFormat="1" ht="13.8" x14ac:dyDescent="0.25">
      <c r="A92" s="151" t="s">
        <v>306</v>
      </c>
      <c r="B92" s="121"/>
      <c r="C92" s="163">
        <v>342</v>
      </c>
      <c r="D92" s="164" t="s">
        <v>266</v>
      </c>
      <c r="E92" s="148">
        <f>SUM(E93)</f>
        <v>5000</v>
      </c>
      <c r="F92" s="289">
        <f>SUM(F93)</f>
        <v>0</v>
      </c>
      <c r="G92" s="289"/>
      <c r="H92" s="289"/>
      <c r="I92" s="330">
        <v>0</v>
      </c>
      <c r="J92" s="330"/>
    </row>
    <row r="93" spans="1:10" s="150" customFormat="1" ht="13.8" hidden="1" x14ac:dyDescent="0.25">
      <c r="A93" s="151" t="s">
        <v>306</v>
      </c>
      <c r="B93" s="125">
        <v>36</v>
      </c>
      <c r="C93" s="165">
        <v>3423</v>
      </c>
      <c r="D93" s="166" t="s">
        <v>266</v>
      </c>
      <c r="E93" s="127">
        <v>5000</v>
      </c>
      <c r="F93" s="291">
        <v>0</v>
      </c>
      <c r="G93" s="291"/>
      <c r="H93" s="291"/>
      <c r="I93" s="330">
        <v>0</v>
      </c>
      <c r="J93" s="330"/>
    </row>
    <row r="94" spans="1:10" s="132" customFormat="1" ht="13.8" x14ac:dyDescent="0.25">
      <c r="A94" s="151" t="s">
        <v>306</v>
      </c>
      <c r="B94" s="121"/>
      <c r="C94" s="163">
        <v>343</v>
      </c>
      <c r="D94" s="164" t="s">
        <v>71</v>
      </c>
      <c r="E94" s="123">
        <f>SUM(E95:E97)</f>
        <v>16000</v>
      </c>
      <c r="F94" s="288">
        <f>SUM(F95:F97)</f>
        <v>13000</v>
      </c>
      <c r="G94" s="288"/>
      <c r="H94" s="288"/>
      <c r="I94" s="330">
        <f>AVERAGE(G94/F94*100)</f>
        <v>0</v>
      </c>
      <c r="J94" s="330"/>
    </row>
    <row r="95" spans="1:10" s="132" customFormat="1" ht="13.8" hidden="1" x14ac:dyDescent="0.25">
      <c r="A95" s="151" t="s">
        <v>306</v>
      </c>
      <c r="B95" s="125">
        <v>37</v>
      </c>
      <c r="C95" s="165">
        <v>3431</v>
      </c>
      <c r="D95" s="166" t="s">
        <v>72</v>
      </c>
      <c r="E95" s="127">
        <v>11000</v>
      </c>
      <c r="F95" s="291">
        <v>10000</v>
      </c>
      <c r="G95" s="291"/>
      <c r="H95" s="291"/>
      <c r="I95" s="330">
        <f>AVERAGE(G95/F95*100)</f>
        <v>0</v>
      </c>
      <c r="J95" s="330"/>
    </row>
    <row r="96" spans="1:10" s="132" customFormat="1" ht="13.8" hidden="1" x14ac:dyDescent="0.25">
      <c r="A96" s="151" t="s">
        <v>306</v>
      </c>
      <c r="B96" s="125">
        <v>38</v>
      </c>
      <c r="C96" s="165">
        <v>3433</v>
      </c>
      <c r="D96" s="166" t="s">
        <v>73</v>
      </c>
      <c r="E96" s="127">
        <v>1000</v>
      </c>
      <c r="F96" s="291">
        <v>1000</v>
      </c>
      <c r="G96" s="291"/>
      <c r="H96" s="291"/>
      <c r="I96" s="330">
        <f>AVERAGE(G96/F96*100)</f>
        <v>0</v>
      </c>
      <c r="J96" s="330"/>
    </row>
    <row r="97" spans="1:10" s="132" customFormat="1" ht="13.8" hidden="1" x14ac:dyDescent="0.25">
      <c r="A97" s="151" t="s">
        <v>306</v>
      </c>
      <c r="B97" s="125">
        <v>39</v>
      </c>
      <c r="C97" s="165">
        <v>3434</v>
      </c>
      <c r="D97" s="166" t="s">
        <v>74</v>
      </c>
      <c r="E97" s="127">
        <v>4000</v>
      </c>
      <c r="F97" s="291">
        <v>2000</v>
      </c>
      <c r="G97" s="291"/>
      <c r="H97" s="291"/>
      <c r="I97" s="330">
        <f>AVERAGE(G97/F97*100)</f>
        <v>0</v>
      </c>
      <c r="J97" s="330"/>
    </row>
    <row r="98" spans="1:10" s="174" customFormat="1" ht="16.8" x14ac:dyDescent="0.3">
      <c r="A98" s="171"/>
      <c r="B98" s="129"/>
      <c r="C98" s="172"/>
      <c r="D98" s="173"/>
      <c r="E98" s="131"/>
      <c r="F98" s="293"/>
      <c r="G98" s="293"/>
      <c r="H98" s="293"/>
      <c r="I98" s="252"/>
      <c r="J98" s="252"/>
    </row>
    <row r="99" spans="1:10" s="174" customFormat="1" ht="16.8" x14ac:dyDescent="0.3">
      <c r="A99" s="124"/>
      <c r="B99" s="124"/>
      <c r="C99" s="124"/>
      <c r="D99" s="175" t="s">
        <v>178</v>
      </c>
      <c r="E99" s="139"/>
      <c r="F99" s="295"/>
      <c r="G99" s="295"/>
      <c r="H99" s="324"/>
      <c r="I99" s="253"/>
      <c r="J99" s="253"/>
    </row>
    <row r="100" spans="1:10" s="117" customFormat="1" ht="15.6" x14ac:dyDescent="0.3">
      <c r="A100" s="124"/>
      <c r="B100" s="124"/>
      <c r="C100" s="124"/>
      <c r="D100" s="241" t="s">
        <v>195</v>
      </c>
      <c r="E100" s="141"/>
      <c r="F100" s="296"/>
      <c r="G100" s="296"/>
      <c r="H100" s="325"/>
      <c r="I100" s="254"/>
      <c r="J100" s="254"/>
    </row>
    <row r="101" spans="1:10" s="117" customFormat="1" ht="15.6" x14ac:dyDescent="0.3">
      <c r="A101" s="176"/>
      <c r="B101" s="176"/>
      <c r="C101" s="176"/>
      <c r="D101" s="270" t="s">
        <v>295</v>
      </c>
      <c r="E101" s="177">
        <f t="shared" ref="E101:H102" si="4">SUM(E102)</f>
        <v>72000</v>
      </c>
      <c r="F101" s="301">
        <f t="shared" si="4"/>
        <v>60000</v>
      </c>
      <c r="G101" s="301">
        <f t="shared" si="4"/>
        <v>50000</v>
      </c>
      <c r="H101" s="301">
        <f t="shared" si="4"/>
        <v>45000</v>
      </c>
      <c r="I101" s="331">
        <f>AVERAGE(G101/F101*100)</f>
        <v>83.333333333333343</v>
      </c>
      <c r="J101" s="331">
        <f>AVERAGE(H101/G101*100)</f>
        <v>90</v>
      </c>
    </row>
    <row r="102" spans="1:10" s="1" customFormat="1" x14ac:dyDescent="0.25">
      <c r="A102" s="125" t="s">
        <v>307</v>
      </c>
      <c r="B102" s="121"/>
      <c r="C102" s="163">
        <v>42</v>
      </c>
      <c r="D102" s="164" t="s">
        <v>96</v>
      </c>
      <c r="E102" s="123">
        <f t="shared" si="4"/>
        <v>72000</v>
      </c>
      <c r="F102" s="288">
        <f t="shared" si="4"/>
        <v>60000</v>
      </c>
      <c r="G102" s="288">
        <v>50000</v>
      </c>
      <c r="H102" s="288">
        <v>45000</v>
      </c>
      <c r="I102" s="330">
        <f t="shared" ref="I102:J107" si="5">AVERAGE(G102/F102*100)</f>
        <v>83.333333333333343</v>
      </c>
      <c r="J102" s="330">
        <f t="shared" si="5"/>
        <v>90</v>
      </c>
    </row>
    <row r="103" spans="1:10" s="1" customFormat="1" x14ac:dyDescent="0.25">
      <c r="A103" s="125" t="s">
        <v>307</v>
      </c>
      <c r="B103" s="121"/>
      <c r="C103" s="163">
        <v>422</v>
      </c>
      <c r="D103" s="164" t="s">
        <v>99</v>
      </c>
      <c r="E103" s="123">
        <f>SUM(E104:E107)</f>
        <v>72000</v>
      </c>
      <c r="F103" s="288">
        <f>SUM(F104:F107)</f>
        <v>60000</v>
      </c>
      <c r="G103" s="288"/>
      <c r="H103" s="288"/>
      <c r="I103" s="330">
        <f t="shared" si="5"/>
        <v>0</v>
      </c>
      <c r="J103" s="330"/>
    </row>
    <row r="104" spans="1:10" s="1" customFormat="1" hidden="1" x14ac:dyDescent="0.25">
      <c r="A104" s="125" t="s">
        <v>307</v>
      </c>
      <c r="B104" s="125">
        <v>40</v>
      </c>
      <c r="C104" s="165">
        <v>4221</v>
      </c>
      <c r="D104" s="166" t="s">
        <v>100</v>
      </c>
      <c r="E104" s="127">
        <v>20000</v>
      </c>
      <c r="F104" s="291">
        <v>20000</v>
      </c>
      <c r="G104" s="291"/>
      <c r="H104" s="291"/>
      <c r="I104" s="330">
        <f t="shared" si="5"/>
        <v>0</v>
      </c>
      <c r="J104" s="330"/>
    </row>
    <row r="105" spans="1:10" s="1" customFormat="1" hidden="1" x14ac:dyDescent="0.25">
      <c r="A105" s="125" t="s">
        <v>307</v>
      </c>
      <c r="B105" s="125">
        <v>41</v>
      </c>
      <c r="C105" s="165">
        <v>4222</v>
      </c>
      <c r="D105" s="166" t="s">
        <v>101</v>
      </c>
      <c r="E105" s="127">
        <v>5000</v>
      </c>
      <c r="F105" s="291">
        <v>5000</v>
      </c>
      <c r="G105" s="291"/>
      <c r="H105" s="291"/>
      <c r="I105" s="330">
        <f t="shared" si="5"/>
        <v>0</v>
      </c>
      <c r="J105" s="330"/>
    </row>
    <row r="106" spans="1:10" s="150" customFormat="1" ht="13.8" hidden="1" x14ac:dyDescent="0.25">
      <c r="A106" s="125" t="s">
        <v>307</v>
      </c>
      <c r="B106" s="125">
        <v>42</v>
      </c>
      <c r="C106" s="165">
        <v>4223</v>
      </c>
      <c r="D106" s="166" t="s">
        <v>112</v>
      </c>
      <c r="E106" s="127">
        <v>12000</v>
      </c>
      <c r="F106" s="291">
        <v>10000</v>
      </c>
      <c r="G106" s="291"/>
      <c r="H106" s="291"/>
      <c r="I106" s="330">
        <f t="shared" si="5"/>
        <v>0</v>
      </c>
      <c r="J106" s="330"/>
    </row>
    <row r="107" spans="1:10" s="132" customFormat="1" ht="13.8" hidden="1" x14ac:dyDescent="0.25">
      <c r="A107" s="125" t="s">
        <v>307</v>
      </c>
      <c r="B107" s="125">
        <v>43</v>
      </c>
      <c r="C107" s="165">
        <v>4227</v>
      </c>
      <c r="D107" s="166" t="s">
        <v>102</v>
      </c>
      <c r="E107" s="127">
        <v>35000</v>
      </c>
      <c r="F107" s="291">
        <v>25000</v>
      </c>
      <c r="G107" s="291"/>
      <c r="H107" s="291"/>
      <c r="I107" s="330">
        <f t="shared" si="5"/>
        <v>0</v>
      </c>
      <c r="J107" s="330"/>
    </row>
    <row r="108" spans="1:10" s="132" customFormat="1" ht="13.8" x14ac:dyDescent="0.25">
      <c r="C108" s="178"/>
      <c r="D108" s="179"/>
      <c r="E108" s="180"/>
      <c r="F108" s="302"/>
      <c r="G108" s="302"/>
      <c r="H108" s="302"/>
      <c r="I108" s="252"/>
      <c r="J108" s="252"/>
    </row>
    <row r="109" spans="1:10" s="132" customFormat="1" ht="13.8" x14ac:dyDescent="0.25">
      <c r="A109" s="124"/>
      <c r="B109" s="124"/>
      <c r="C109" s="124"/>
      <c r="D109" s="137" t="s">
        <v>178</v>
      </c>
      <c r="E109" s="139"/>
      <c r="F109" s="295"/>
      <c r="G109" s="285"/>
      <c r="H109" s="285"/>
      <c r="I109" s="249"/>
      <c r="J109" s="249"/>
    </row>
    <row r="110" spans="1:10" s="132" customFormat="1" ht="13.8" x14ac:dyDescent="0.25">
      <c r="A110" s="124"/>
      <c r="B110" s="124"/>
      <c r="C110" s="124"/>
      <c r="D110" s="240" t="s">
        <v>195</v>
      </c>
      <c r="E110" s="141"/>
      <c r="F110" s="296"/>
      <c r="G110" s="286"/>
      <c r="H110" s="286"/>
      <c r="I110" s="250"/>
      <c r="J110" s="250"/>
    </row>
    <row r="111" spans="1:10" s="1" customFormat="1" ht="13.8" x14ac:dyDescent="0.25">
      <c r="A111" s="176"/>
      <c r="B111" s="176"/>
      <c r="C111" s="176"/>
      <c r="D111" s="271" t="s">
        <v>296</v>
      </c>
      <c r="E111" s="177">
        <f t="shared" ref="E111:H113" si="6">SUM(E112)</f>
        <v>5000</v>
      </c>
      <c r="F111" s="301">
        <f t="shared" si="6"/>
        <v>5000</v>
      </c>
      <c r="G111" s="287">
        <f t="shared" si="6"/>
        <v>5000</v>
      </c>
      <c r="H111" s="287">
        <f t="shared" si="6"/>
        <v>5000</v>
      </c>
      <c r="I111" s="331">
        <f>AVERAGE(G111/F111*100)</f>
        <v>100</v>
      </c>
      <c r="J111" s="331">
        <f>AVERAGE(H111/G111*100)</f>
        <v>100</v>
      </c>
    </row>
    <row r="112" spans="1:10" s="1" customFormat="1" x14ac:dyDescent="0.25">
      <c r="A112" s="234" t="s">
        <v>308</v>
      </c>
      <c r="B112" s="121"/>
      <c r="C112" s="163">
        <v>42</v>
      </c>
      <c r="D112" s="164" t="s">
        <v>96</v>
      </c>
      <c r="E112" s="123">
        <f t="shared" si="6"/>
        <v>5000</v>
      </c>
      <c r="F112" s="288">
        <f t="shared" si="6"/>
        <v>5000</v>
      </c>
      <c r="G112" s="288">
        <v>5000</v>
      </c>
      <c r="H112" s="288">
        <v>5000</v>
      </c>
      <c r="I112" s="330">
        <f t="shared" ref="I112:J114" si="7">AVERAGE(G112/F112*100)</f>
        <v>100</v>
      </c>
      <c r="J112" s="330">
        <f t="shared" si="7"/>
        <v>100</v>
      </c>
    </row>
    <row r="113" spans="1:10" s="1" customFormat="1" x14ac:dyDescent="0.25">
      <c r="A113" s="234" t="s">
        <v>308</v>
      </c>
      <c r="B113" s="121"/>
      <c r="C113" s="163">
        <v>426</v>
      </c>
      <c r="D113" s="164" t="s">
        <v>117</v>
      </c>
      <c r="E113" s="123">
        <f t="shared" si="6"/>
        <v>5000</v>
      </c>
      <c r="F113" s="288">
        <f t="shared" si="6"/>
        <v>5000</v>
      </c>
      <c r="G113" s="288"/>
      <c r="H113" s="288"/>
      <c r="I113" s="330">
        <f t="shared" si="7"/>
        <v>0</v>
      </c>
      <c r="J113" s="330"/>
    </row>
    <row r="114" spans="1:10" s="1" customFormat="1" ht="15" hidden="1" customHeight="1" x14ac:dyDescent="0.25">
      <c r="A114" s="234" t="s">
        <v>308</v>
      </c>
      <c r="B114" s="125">
        <v>44</v>
      </c>
      <c r="C114" s="165">
        <v>4262</v>
      </c>
      <c r="D114" s="166" t="s">
        <v>196</v>
      </c>
      <c r="E114" s="127">
        <v>5000</v>
      </c>
      <c r="F114" s="291">
        <v>5000</v>
      </c>
      <c r="G114" s="291"/>
      <c r="H114" s="291"/>
      <c r="I114" s="330">
        <f t="shared" si="7"/>
        <v>0</v>
      </c>
      <c r="J114" s="330"/>
    </row>
    <row r="115" spans="1:10" s="1" customFormat="1" x14ac:dyDescent="0.25">
      <c r="A115" s="129"/>
      <c r="B115" s="129"/>
      <c r="C115" s="172"/>
      <c r="D115" s="173"/>
      <c r="E115" s="131"/>
      <c r="F115" s="293"/>
      <c r="G115" s="293"/>
      <c r="H115" s="293"/>
      <c r="I115" s="252"/>
      <c r="J115" s="252"/>
    </row>
    <row r="116" spans="1:10" s="183" customFormat="1" ht="13.8" x14ac:dyDescent="0.25">
      <c r="A116" s="95"/>
      <c r="B116" s="95"/>
      <c r="C116" s="95"/>
      <c r="D116" s="181" t="s">
        <v>178</v>
      </c>
      <c r="E116" s="182"/>
      <c r="F116" s="303"/>
      <c r="G116" s="303"/>
      <c r="H116" s="303"/>
      <c r="I116" s="249"/>
      <c r="J116" s="249"/>
    </row>
    <row r="117" spans="1:10" s="150" customFormat="1" ht="13.8" x14ac:dyDescent="0.25">
      <c r="A117" s="95"/>
      <c r="B117" s="95"/>
      <c r="C117" s="95"/>
      <c r="D117" s="239" t="s">
        <v>197</v>
      </c>
      <c r="E117" s="118"/>
      <c r="F117" s="286"/>
      <c r="G117" s="286"/>
      <c r="H117" s="286"/>
      <c r="I117" s="250"/>
      <c r="J117" s="250"/>
    </row>
    <row r="118" spans="1:10" s="132" customFormat="1" ht="13.8" x14ac:dyDescent="0.25">
      <c r="A118" s="185"/>
      <c r="B118" s="185"/>
      <c r="C118" s="185"/>
      <c r="D118" s="267" t="s">
        <v>297</v>
      </c>
      <c r="E118" s="120">
        <f t="shared" ref="E118:H120" si="8">SUM(E119)</f>
        <v>0</v>
      </c>
      <c r="F118" s="287">
        <f t="shared" si="8"/>
        <v>30000</v>
      </c>
      <c r="G118" s="287">
        <f t="shared" si="8"/>
        <v>30000</v>
      </c>
      <c r="H118" s="287">
        <f t="shared" si="8"/>
        <v>30000</v>
      </c>
      <c r="I118" s="331">
        <f>AVERAGE(G118/F118*100)</f>
        <v>100</v>
      </c>
      <c r="J118" s="331">
        <f>AVERAGE(H118/G118*100)</f>
        <v>100</v>
      </c>
    </row>
    <row r="119" spans="1:10" s="150" customFormat="1" ht="13.8" x14ac:dyDescent="0.25">
      <c r="A119" s="234" t="s">
        <v>309</v>
      </c>
      <c r="B119" s="121"/>
      <c r="C119" s="163">
        <v>32</v>
      </c>
      <c r="D119" s="164" t="s">
        <v>47</v>
      </c>
      <c r="E119" s="123">
        <f t="shared" si="8"/>
        <v>0</v>
      </c>
      <c r="F119" s="288">
        <f t="shared" si="8"/>
        <v>30000</v>
      </c>
      <c r="G119" s="288">
        <v>30000</v>
      </c>
      <c r="H119" s="288">
        <v>30000</v>
      </c>
      <c r="I119" s="330">
        <f t="shared" ref="I119:J121" si="9">AVERAGE(G119/F119*100)</f>
        <v>100</v>
      </c>
      <c r="J119" s="330">
        <f t="shared" si="9"/>
        <v>100</v>
      </c>
    </row>
    <row r="120" spans="1:10" s="132" customFormat="1" ht="13.8" x14ac:dyDescent="0.25">
      <c r="A120" s="234" t="s">
        <v>309</v>
      </c>
      <c r="B120" s="121"/>
      <c r="C120" s="163">
        <v>323</v>
      </c>
      <c r="D120" s="164" t="s">
        <v>56</v>
      </c>
      <c r="E120" s="123">
        <f t="shared" si="8"/>
        <v>0</v>
      </c>
      <c r="F120" s="288">
        <f t="shared" si="8"/>
        <v>30000</v>
      </c>
      <c r="G120" s="288"/>
      <c r="H120" s="288"/>
      <c r="I120" s="330">
        <f t="shared" si="9"/>
        <v>0</v>
      </c>
      <c r="J120" s="330"/>
    </row>
    <row r="121" spans="1:10" s="150" customFormat="1" ht="13.8" hidden="1" x14ac:dyDescent="0.25">
      <c r="A121" s="234" t="s">
        <v>309</v>
      </c>
      <c r="B121" s="125">
        <v>45</v>
      </c>
      <c r="C121" s="165">
        <v>3237</v>
      </c>
      <c r="D121" s="166" t="s">
        <v>62</v>
      </c>
      <c r="E121" s="127">
        <v>0</v>
      </c>
      <c r="F121" s="291">
        <v>30000</v>
      </c>
      <c r="G121" s="291"/>
      <c r="H121" s="291"/>
      <c r="I121" s="330">
        <f t="shared" si="9"/>
        <v>0</v>
      </c>
      <c r="J121" s="330"/>
    </row>
    <row r="122" spans="1:10" s="150" customFormat="1" ht="13.8" x14ac:dyDescent="0.25">
      <c r="A122" s="186"/>
      <c r="B122" s="105"/>
      <c r="C122" s="186"/>
      <c r="D122" s="105"/>
      <c r="E122" s="186"/>
      <c r="F122" s="304"/>
      <c r="G122" s="304"/>
      <c r="H122" s="304"/>
      <c r="I122" s="255"/>
      <c r="J122" s="255"/>
    </row>
    <row r="123" spans="1:10" s="132" customFormat="1" ht="13.8" x14ac:dyDescent="0.25">
      <c r="A123" s="124"/>
      <c r="B123" s="124"/>
      <c r="C123" s="124"/>
      <c r="D123" s="181" t="s">
        <v>178</v>
      </c>
      <c r="E123" s="116"/>
      <c r="F123" s="285"/>
      <c r="G123" s="285"/>
      <c r="H123" s="285"/>
      <c r="I123" s="249"/>
      <c r="J123" s="249"/>
    </row>
    <row r="124" spans="1:10" s="132" customFormat="1" ht="13.8" x14ac:dyDescent="0.25">
      <c r="A124" s="124"/>
      <c r="B124" s="124"/>
      <c r="C124" s="124"/>
      <c r="D124" s="239" t="s">
        <v>195</v>
      </c>
      <c r="E124" s="118"/>
      <c r="F124" s="286"/>
      <c r="G124" s="286"/>
      <c r="H124" s="286"/>
      <c r="I124" s="250"/>
      <c r="J124" s="250"/>
    </row>
    <row r="125" spans="1:10" ht="13.8" x14ac:dyDescent="0.25">
      <c r="A125" s="176"/>
      <c r="B125" s="176"/>
      <c r="C125" s="176"/>
      <c r="D125" s="267" t="s">
        <v>298</v>
      </c>
      <c r="E125" s="187">
        <f>SUM(E126+E129)</f>
        <v>10000</v>
      </c>
      <c r="F125" s="280">
        <f>SUM(F126+F129)</f>
        <v>10000</v>
      </c>
      <c r="G125" s="280">
        <f>SUM(G126+G129)</f>
        <v>10000</v>
      </c>
      <c r="H125" s="280">
        <f>SUM(H126+H129)</f>
        <v>10000</v>
      </c>
      <c r="I125" s="331">
        <f>AVERAGE(G125/F125*100)</f>
        <v>100</v>
      </c>
      <c r="J125" s="331">
        <f>AVERAGE(H125/G125*100)</f>
        <v>100</v>
      </c>
    </row>
    <row r="126" spans="1:10" x14ac:dyDescent="0.25">
      <c r="A126" s="234" t="s">
        <v>310</v>
      </c>
      <c r="B126" s="121"/>
      <c r="C126" s="163">
        <v>32</v>
      </c>
      <c r="D126" s="164" t="s">
        <v>47</v>
      </c>
      <c r="E126" s="123">
        <f>SUM(E127)</f>
        <v>0</v>
      </c>
      <c r="F126" s="288">
        <f t="shared" ref="F126:H127" si="10">SUM(F127)</f>
        <v>0</v>
      </c>
      <c r="G126" s="288">
        <f t="shared" si="10"/>
        <v>0</v>
      </c>
      <c r="H126" s="288">
        <f t="shared" si="10"/>
        <v>0</v>
      </c>
      <c r="I126" s="330">
        <v>0</v>
      </c>
      <c r="J126" s="330"/>
    </row>
    <row r="127" spans="1:10" x14ac:dyDescent="0.25">
      <c r="A127" s="234" t="s">
        <v>310</v>
      </c>
      <c r="B127" s="121"/>
      <c r="C127" s="163">
        <v>329</v>
      </c>
      <c r="D127" s="164" t="s">
        <v>65</v>
      </c>
      <c r="E127" s="123">
        <f>SUM(E128)</f>
        <v>0</v>
      </c>
      <c r="F127" s="288">
        <f t="shared" si="10"/>
        <v>0</v>
      </c>
      <c r="G127" s="288"/>
      <c r="H127" s="288"/>
      <c r="I127" s="330">
        <v>0</v>
      </c>
      <c r="J127" s="330"/>
    </row>
    <row r="128" spans="1:10" ht="14.25" hidden="1" customHeight="1" x14ac:dyDescent="0.25">
      <c r="A128" s="234" t="s">
        <v>310</v>
      </c>
      <c r="B128" s="125">
        <v>46</v>
      </c>
      <c r="C128" s="165">
        <v>3299</v>
      </c>
      <c r="D128" s="166" t="s">
        <v>65</v>
      </c>
      <c r="E128" s="127">
        <v>0</v>
      </c>
      <c r="F128" s="291">
        <v>0</v>
      </c>
      <c r="G128" s="291"/>
      <c r="H128" s="291"/>
      <c r="I128" s="330">
        <v>0</v>
      </c>
      <c r="J128" s="330"/>
    </row>
    <row r="129" spans="1:10" s="188" customFormat="1" x14ac:dyDescent="0.25">
      <c r="A129" s="234" t="s">
        <v>310</v>
      </c>
      <c r="B129" s="125"/>
      <c r="C129" s="122">
        <v>38</v>
      </c>
      <c r="D129" s="121" t="s">
        <v>198</v>
      </c>
      <c r="E129" s="123">
        <f>SUM(E130)</f>
        <v>10000</v>
      </c>
      <c r="F129" s="288">
        <f>SUM(F130)</f>
        <v>10000</v>
      </c>
      <c r="G129" s="288">
        <v>10000</v>
      </c>
      <c r="H129" s="288">
        <v>10000</v>
      </c>
      <c r="I129" s="330">
        <f>AVERAGE(G129/F129*100)</f>
        <v>100</v>
      </c>
      <c r="J129" s="330">
        <f>AVERAGE(H129/G129*100)</f>
        <v>100</v>
      </c>
    </row>
    <row r="130" spans="1:10" s="132" customFormat="1" ht="13.8" x14ac:dyDescent="0.25">
      <c r="A130" s="234" t="s">
        <v>310</v>
      </c>
      <c r="B130" s="125"/>
      <c r="C130" s="122">
        <v>383</v>
      </c>
      <c r="D130" s="121" t="s">
        <v>199</v>
      </c>
      <c r="E130" s="123">
        <f>SUM(E131)</f>
        <v>10000</v>
      </c>
      <c r="F130" s="288">
        <f>SUM(F131)</f>
        <v>10000</v>
      </c>
      <c r="G130" s="288"/>
      <c r="H130" s="288"/>
      <c r="I130" s="330">
        <f>AVERAGE(G130/F130*100)</f>
        <v>0</v>
      </c>
      <c r="J130" s="330"/>
    </row>
    <row r="131" spans="1:10" s="132" customFormat="1" ht="13.8" hidden="1" x14ac:dyDescent="0.25">
      <c r="A131" s="234" t="s">
        <v>310</v>
      </c>
      <c r="B131" s="125">
        <v>47</v>
      </c>
      <c r="C131" s="126">
        <v>3831</v>
      </c>
      <c r="D131" s="125" t="s">
        <v>200</v>
      </c>
      <c r="E131" s="127">
        <v>10000</v>
      </c>
      <c r="F131" s="291">
        <v>10000</v>
      </c>
      <c r="G131" s="291"/>
      <c r="H131" s="291"/>
      <c r="I131" s="330">
        <f>AVERAGE(G131/F131*100)</f>
        <v>0</v>
      </c>
      <c r="J131" s="330"/>
    </row>
    <row r="132" spans="1:10" s="190" customFormat="1" ht="13.8" thickBot="1" x14ac:dyDescent="0.3">
      <c r="A132" s="186"/>
      <c r="B132" s="105"/>
      <c r="C132" s="186"/>
      <c r="D132" s="105"/>
      <c r="E132" s="186"/>
      <c r="F132" s="304"/>
      <c r="G132" s="304"/>
      <c r="H132" s="304"/>
      <c r="I132" s="255"/>
      <c r="J132" s="255"/>
    </row>
    <row r="133" spans="1:10" s="174" customFormat="1" ht="17.399999999999999" thickBot="1" x14ac:dyDescent="0.35">
      <c r="A133" s="879" t="s">
        <v>201</v>
      </c>
      <c r="B133" s="880"/>
      <c r="C133" s="880"/>
      <c r="D133" s="881"/>
      <c r="E133" s="108">
        <f>SUM(E135+E144+E167)</f>
        <v>0</v>
      </c>
      <c r="F133" s="294">
        <f>SUM(F135+F144+F167)</f>
        <v>236000</v>
      </c>
      <c r="G133" s="294">
        <f>SUM(G135+G144+G167)</f>
        <v>245500</v>
      </c>
      <c r="H133" s="294">
        <f>SUM(H135+H144+H167)</f>
        <v>246000</v>
      </c>
      <c r="I133" s="246">
        <f>AVERAGE(G133/F133*100)</f>
        <v>104.02542372881356</v>
      </c>
      <c r="J133" s="246">
        <f>AVERAGE(H133/G133*100)</f>
        <v>100.20366598778003</v>
      </c>
    </row>
    <row r="134" spans="1:10" s="193" customFormat="1" ht="17.399999999999999" thickBot="1" x14ac:dyDescent="0.35">
      <c r="A134" s="191"/>
      <c r="B134" s="191"/>
      <c r="C134" s="191"/>
      <c r="D134" s="191"/>
      <c r="E134" s="192"/>
      <c r="F134" s="305"/>
      <c r="G134" s="305"/>
      <c r="H134" s="305"/>
      <c r="I134" s="247"/>
      <c r="J134" s="247"/>
    </row>
    <row r="135" spans="1:10" s="112" customFormat="1" ht="16.2" thickBot="1" x14ac:dyDescent="0.35">
      <c r="A135" s="873" t="s">
        <v>202</v>
      </c>
      <c r="B135" s="874"/>
      <c r="C135" s="874"/>
      <c r="D135" s="875"/>
      <c r="E135" s="111">
        <f>SUM(E139)</f>
        <v>0</v>
      </c>
      <c r="F135" s="283">
        <f>SUM(F139)</f>
        <v>15000</v>
      </c>
      <c r="G135" s="283">
        <f>SUM(G139)</f>
        <v>15000</v>
      </c>
      <c r="H135" s="283">
        <f>SUM(H139)</f>
        <v>15000</v>
      </c>
      <c r="I135" s="248">
        <f>AVERAGE(G135/F135*100)</f>
        <v>100</v>
      </c>
      <c r="J135" s="248">
        <f>AVERAGE(H135/G135*100)</f>
        <v>100</v>
      </c>
    </row>
    <row r="136" spans="1:10" s="112" customFormat="1" ht="15.6" x14ac:dyDescent="0.3">
      <c r="A136" s="194"/>
      <c r="B136" s="194"/>
      <c r="C136" s="194"/>
      <c r="D136" s="194"/>
      <c r="E136" s="195"/>
      <c r="F136" s="306"/>
      <c r="G136" s="306"/>
      <c r="H136" s="306"/>
      <c r="I136" s="256"/>
      <c r="J136" s="256"/>
    </row>
    <row r="137" spans="1:10" s="1" customFormat="1" ht="15" customHeight="1" x14ac:dyDescent="0.25">
      <c r="A137" s="124"/>
      <c r="B137" s="124"/>
      <c r="C137" s="124"/>
      <c r="D137" s="181" t="s">
        <v>203</v>
      </c>
      <c r="E137" s="196"/>
      <c r="F137" s="307"/>
      <c r="G137" s="307"/>
      <c r="H137" s="307"/>
      <c r="I137" s="196"/>
      <c r="J137" s="196"/>
    </row>
    <row r="138" spans="1:10" s="1" customFormat="1" ht="13.8" x14ac:dyDescent="0.25">
      <c r="A138" s="124"/>
      <c r="B138" s="124"/>
      <c r="C138" s="124"/>
      <c r="D138" s="239" t="s">
        <v>204</v>
      </c>
      <c r="E138" s="118"/>
      <c r="F138" s="286"/>
      <c r="G138" s="286"/>
      <c r="H138" s="286"/>
      <c r="I138" s="250"/>
      <c r="J138" s="250"/>
    </row>
    <row r="139" spans="1:10" s="1" customFormat="1" ht="13.8" x14ac:dyDescent="0.25">
      <c r="A139" s="124"/>
      <c r="B139" s="124"/>
      <c r="C139" s="124"/>
      <c r="D139" s="267" t="s">
        <v>299</v>
      </c>
      <c r="E139" s="197">
        <f t="shared" ref="E139:H141" si="11">SUM(E140)</f>
        <v>0</v>
      </c>
      <c r="F139" s="280">
        <f t="shared" si="11"/>
        <v>15000</v>
      </c>
      <c r="G139" s="280">
        <f t="shared" si="11"/>
        <v>15000</v>
      </c>
      <c r="H139" s="280">
        <f t="shared" si="11"/>
        <v>15000</v>
      </c>
      <c r="I139" s="331">
        <f>AVERAGE(G139/F139*100)</f>
        <v>100</v>
      </c>
      <c r="J139" s="331">
        <f>AVERAGE(H139/G139*100)</f>
        <v>100</v>
      </c>
    </row>
    <row r="140" spans="1:10" s="150" customFormat="1" ht="13.8" x14ac:dyDescent="0.25">
      <c r="A140" s="125" t="s">
        <v>292</v>
      </c>
      <c r="B140" s="121"/>
      <c r="C140" s="163">
        <v>32</v>
      </c>
      <c r="D140" s="121" t="s">
        <v>180</v>
      </c>
      <c r="E140" s="123">
        <f t="shared" si="11"/>
        <v>0</v>
      </c>
      <c r="F140" s="288">
        <f t="shared" si="11"/>
        <v>15000</v>
      </c>
      <c r="G140" s="288">
        <v>15000</v>
      </c>
      <c r="H140" s="288">
        <v>15000</v>
      </c>
      <c r="I140" s="330">
        <f t="shared" ref="I140:J142" si="12">AVERAGE(G140/F140*100)</f>
        <v>100</v>
      </c>
      <c r="J140" s="330">
        <f t="shared" si="12"/>
        <v>100</v>
      </c>
    </row>
    <row r="141" spans="1:10" s="150" customFormat="1" ht="13.8" x14ac:dyDescent="0.25">
      <c r="A141" s="125" t="s">
        <v>292</v>
      </c>
      <c r="B141" s="121"/>
      <c r="C141" s="122">
        <v>323</v>
      </c>
      <c r="D141" s="121" t="s">
        <v>56</v>
      </c>
      <c r="E141" s="123">
        <f t="shared" si="11"/>
        <v>0</v>
      </c>
      <c r="F141" s="288">
        <f t="shared" si="11"/>
        <v>15000</v>
      </c>
      <c r="G141" s="288"/>
      <c r="H141" s="288"/>
      <c r="I141" s="330">
        <f t="shared" si="12"/>
        <v>0</v>
      </c>
      <c r="J141" s="330"/>
    </row>
    <row r="142" spans="1:10" s="132" customFormat="1" ht="13.8" hidden="1" x14ac:dyDescent="0.25">
      <c r="A142" s="125" t="s">
        <v>292</v>
      </c>
      <c r="B142" s="125">
        <v>48</v>
      </c>
      <c r="C142" s="126">
        <v>3237</v>
      </c>
      <c r="D142" s="125" t="s">
        <v>62</v>
      </c>
      <c r="E142" s="127">
        <v>0</v>
      </c>
      <c r="F142" s="291">
        <v>15000</v>
      </c>
      <c r="G142" s="291"/>
      <c r="H142" s="291"/>
      <c r="I142" s="330">
        <f t="shared" si="12"/>
        <v>0</v>
      </c>
      <c r="J142" s="330"/>
    </row>
    <row r="143" spans="1:10" s="132" customFormat="1" ht="14.4" thickBot="1" x14ac:dyDescent="0.3">
      <c r="A143" s="129"/>
      <c r="B143" s="129"/>
      <c r="C143" s="130"/>
      <c r="D143" s="129"/>
      <c r="E143" s="131"/>
      <c r="F143" s="293"/>
      <c r="G143" s="293"/>
      <c r="H143" s="293"/>
      <c r="I143" s="252"/>
      <c r="J143" s="252"/>
    </row>
    <row r="144" spans="1:10" s="1" customFormat="1" ht="15.75" customHeight="1" thickBot="1" x14ac:dyDescent="0.35">
      <c r="A144" s="873" t="s">
        <v>205</v>
      </c>
      <c r="B144" s="874"/>
      <c r="C144" s="874"/>
      <c r="D144" s="875"/>
      <c r="E144" s="111">
        <f>SUM(E148+E155+E162)</f>
        <v>0</v>
      </c>
      <c r="F144" s="283">
        <f>SUM(F148+F155+F162)</f>
        <v>30000</v>
      </c>
      <c r="G144" s="283">
        <f>SUM(G148+G155+G162)</f>
        <v>30500</v>
      </c>
      <c r="H144" s="283">
        <f>SUM(H148+H155+H162)</f>
        <v>31000</v>
      </c>
      <c r="I144" s="248">
        <f>AVERAGE(G144/F144*100)</f>
        <v>101.66666666666666</v>
      </c>
      <c r="J144" s="248">
        <f>AVERAGE(H144/G144*100)</f>
        <v>101.63934426229508</v>
      </c>
    </row>
    <row r="145" spans="1:10" s="1" customFormat="1" ht="15.75" customHeight="1" x14ac:dyDescent="0.25">
      <c r="A145" s="194"/>
      <c r="B145" s="194"/>
      <c r="C145" s="194"/>
      <c r="D145" s="194"/>
      <c r="E145" s="195"/>
      <c r="F145" s="306"/>
      <c r="G145" s="306"/>
      <c r="H145" s="306"/>
      <c r="I145" s="247"/>
      <c r="J145" s="247"/>
    </row>
    <row r="146" spans="1:10" s="1" customFormat="1" ht="12.75" customHeight="1" x14ac:dyDescent="0.25">
      <c r="A146" s="124"/>
      <c r="B146" s="124"/>
      <c r="C146" s="124"/>
      <c r="D146" s="181" t="s">
        <v>203</v>
      </c>
      <c r="E146" s="116"/>
      <c r="F146" s="285"/>
      <c r="G146" s="285"/>
      <c r="H146" s="285"/>
      <c r="I146" s="249"/>
      <c r="J146" s="249"/>
    </row>
    <row r="147" spans="1:10" s="1" customFormat="1" ht="12.75" customHeight="1" x14ac:dyDescent="0.25">
      <c r="A147" s="124"/>
      <c r="B147" s="124"/>
      <c r="C147" s="124"/>
      <c r="D147" s="239" t="s">
        <v>197</v>
      </c>
      <c r="E147" s="118"/>
      <c r="F147" s="286"/>
      <c r="G147" s="286"/>
      <c r="H147" s="286"/>
      <c r="I147" s="250"/>
      <c r="J147" s="250"/>
    </row>
    <row r="148" spans="1:10" s="1" customFormat="1" ht="15.75" customHeight="1" x14ac:dyDescent="0.25">
      <c r="A148" s="124"/>
      <c r="B148" s="124"/>
      <c r="C148" s="124"/>
      <c r="D148" s="267" t="s">
        <v>300</v>
      </c>
      <c r="E148" s="197">
        <f t="shared" ref="E148:H149" si="13">SUM(E149)</f>
        <v>0</v>
      </c>
      <c r="F148" s="280">
        <f t="shared" si="13"/>
        <v>2000</v>
      </c>
      <c r="G148" s="280">
        <f t="shared" si="13"/>
        <v>1500</v>
      </c>
      <c r="H148" s="280">
        <f t="shared" si="13"/>
        <v>1000</v>
      </c>
      <c r="I148" s="331">
        <f>AVERAGE(G148/F148*100)</f>
        <v>75</v>
      </c>
      <c r="J148" s="331">
        <f>AVERAGE(H148/G148*100)</f>
        <v>66.666666666666657</v>
      </c>
    </row>
    <row r="149" spans="1:10" s="150" customFormat="1" ht="13.8" x14ac:dyDescent="0.25">
      <c r="A149" s="125" t="s">
        <v>293</v>
      </c>
      <c r="B149" s="121"/>
      <c r="C149" s="122">
        <v>38</v>
      </c>
      <c r="D149" s="121" t="s">
        <v>198</v>
      </c>
      <c r="E149" s="123">
        <f t="shared" si="13"/>
        <v>0</v>
      </c>
      <c r="F149" s="288">
        <f t="shared" si="13"/>
        <v>2000</v>
      </c>
      <c r="G149" s="288">
        <v>1500</v>
      </c>
      <c r="H149" s="288">
        <v>1000</v>
      </c>
      <c r="I149" s="330">
        <f t="shared" ref="I149:J151" si="14">AVERAGE(G149/F149*100)</f>
        <v>75</v>
      </c>
      <c r="J149" s="330">
        <f t="shared" si="14"/>
        <v>66.666666666666657</v>
      </c>
    </row>
    <row r="150" spans="1:10" s="150" customFormat="1" ht="13.8" x14ac:dyDescent="0.25">
      <c r="A150" s="125" t="s">
        <v>293</v>
      </c>
      <c r="B150" s="121"/>
      <c r="C150" s="122">
        <v>381</v>
      </c>
      <c r="D150" s="121" t="s">
        <v>37</v>
      </c>
      <c r="E150" s="123">
        <f>SUM(E151)</f>
        <v>0</v>
      </c>
      <c r="F150" s="288">
        <f>SUM(F151)</f>
        <v>2000</v>
      </c>
      <c r="G150" s="288"/>
      <c r="H150" s="288"/>
      <c r="I150" s="330">
        <f t="shared" si="14"/>
        <v>0</v>
      </c>
      <c r="J150" s="330"/>
    </row>
    <row r="151" spans="1:10" s="132" customFormat="1" ht="13.8" hidden="1" x14ac:dyDescent="0.25">
      <c r="A151" s="125" t="s">
        <v>293</v>
      </c>
      <c r="B151" s="125">
        <v>49</v>
      </c>
      <c r="C151" s="126">
        <v>38129</v>
      </c>
      <c r="D151" s="125" t="s">
        <v>206</v>
      </c>
      <c r="E151" s="127">
        <v>0</v>
      </c>
      <c r="F151" s="291">
        <v>2000</v>
      </c>
      <c r="G151" s="291"/>
      <c r="H151" s="291"/>
      <c r="I151" s="330">
        <f t="shared" si="14"/>
        <v>0</v>
      </c>
      <c r="J151" s="330"/>
    </row>
    <row r="152" spans="1:10" s="132" customFormat="1" ht="13.8" x14ac:dyDescent="0.25">
      <c r="A152" s="129"/>
      <c r="B152" s="129"/>
      <c r="C152" s="130"/>
      <c r="D152" s="129"/>
      <c r="E152" s="131"/>
      <c r="F152" s="293"/>
      <c r="G152" s="293"/>
      <c r="H152" s="293"/>
      <c r="I152" s="252"/>
      <c r="J152" s="252"/>
    </row>
    <row r="153" spans="1:10" s="1" customFormat="1" ht="12.75" customHeight="1" x14ac:dyDescent="0.25">
      <c r="A153" s="124"/>
      <c r="B153" s="124"/>
      <c r="C153" s="124"/>
      <c r="D153" s="181" t="s">
        <v>203</v>
      </c>
      <c r="E153" s="116"/>
      <c r="F153" s="285"/>
      <c r="G153" s="285"/>
      <c r="H153" s="285"/>
      <c r="I153" s="249"/>
      <c r="J153" s="249"/>
    </row>
    <row r="154" spans="1:10" s="1" customFormat="1" ht="12.75" customHeight="1" x14ac:dyDescent="0.25">
      <c r="A154" s="124"/>
      <c r="B154" s="124"/>
      <c r="C154" s="124"/>
      <c r="D154" s="239" t="s">
        <v>197</v>
      </c>
      <c r="E154" s="118"/>
      <c r="F154" s="286"/>
      <c r="G154" s="286"/>
      <c r="H154" s="286"/>
      <c r="I154" s="250"/>
      <c r="J154" s="250"/>
    </row>
    <row r="155" spans="1:10" s="1" customFormat="1" ht="15.75" customHeight="1" x14ac:dyDescent="0.25">
      <c r="A155" s="124"/>
      <c r="B155" s="124"/>
      <c r="C155" s="124"/>
      <c r="D155" s="267" t="s">
        <v>301</v>
      </c>
      <c r="E155" s="197">
        <f>SUM(E156)</f>
        <v>0</v>
      </c>
      <c r="F155" s="280">
        <f t="shared" ref="F155:H157" si="15">SUM(F156)</f>
        <v>25000</v>
      </c>
      <c r="G155" s="280">
        <f t="shared" si="15"/>
        <v>25000</v>
      </c>
      <c r="H155" s="280">
        <f t="shared" si="15"/>
        <v>25000</v>
      </c>
      <c r="I155" s="331">
        <f>AVERAGE(G155/F155*100)</f>
        <v>100</v>
      </c>
      <c r="J155" s="331">
        <f>AVERAGE(H155/G155*100)</f>
        <v>100</v>
      </c>
    </row>
    <row r="156" spans="1:10" s="150" customFormat="1" ht="13.8" x14ac:dyDescent="0.25">
      <c r="A156" s="125" t="s">
        <v>311</v>
      </c>
      <c r="B156" s="121"/>
      <c r="C156" s="122">
        <v>37</v>
      </c>
      <c r="D156" s="121" t="s">
        <v>275</v>
      </c>
      <c r="E156" s="123">
        <f>SUM(E157)</f>
        <v>0</v>
      </c>
      <c r="F156" s="288">
        <f t="shared" si="15"/>
        <v>25000</v>
      </c>
      <c r="G156" s="288">
        <v>25000</v>
      </c>
      <c r="H156" s="288">
        <v>25000</v>
      </c>
      <c r="I156" s="330">
        <f t="shared" ref="I156:J158" si="16">AVERAGE(G156/F156*100)</f>
        <v>100</v>
      </c>
      <c r="J156" s="330">
        <f t="shared" si="16"/>
        <v>100</v>
      </c>
    </row>
    <row r="157" spans="1:10" s="150" customFormat="1" ht="13.8" x14ac:dyDescent="0.25">
      <c r="A157" s="125" t="s">
        <v>311</v>
      </c>
      <c r="B157" s="121"/>
      <c r="C157" s="122">
        <v>372</v>
      </c>
      <c r="D157" s="121" t="s">
        <v>276</v>
      </c>
      <c r="E157" s="123">
        <f>SUM(E158)</f>
        <v>0</v>
      </c>
      <c r="F157" s="288">
        <f t="shared" si="15"/>
        <v>25000</v>
      </c>
      <c r="G157" s="288"/>
      <c r="H157" s="288"/>
      <c r="I157" s="330">
        <f t="shared" si="16"/>
        <v>0</v>
      </c>
      <c r="J157" s="330"/>
    </row>
    <row r="158" spans="1:10" s="132" customFormat="1" ht="13.8" hidden="1" x14ac:dyDescent="0.25">
      <c r="A158" s="125" t="s">
        <v>311</v>
      </c>
      <c r="B158" s="125">
        <v>50</v>
      </c>
      <c r="C158" s="126">
        <v>3721</v>
      </c>
      <c r="D158" s="125" t="s">
        <v>275</v>
      </c>
      <c r="E158" s="127">
        <v>0</v>
      </c>
      <c r="F158" s="291">
        <v>25000</v>
      </c>
      <c r="G158" s="291"/>
      <c r="H158" s="291"/>
      <c r="I158" s="330">
        <f t="shared" si="16"/>
        <v>0</v>
      </c>
      <c r="J158" s="330"/>
    </row>
    <row r="159" spans="1:10" s="132" customFormat="1" ht="13.8" x14ac:dyDescent="0.25">
      <c r="A159" s="129"/>
      <c r="B159" s="129"/>
      <c r="C159" s="130"/>
      <c r="D159" s="129"/>
      <c r="E159" s="131"/>
      <c r="F159" s="293"/>
      <c r="G159" s="293"/>
      <c r="H159" s="293"/>
      <c r="I159" s="252"/>
      <c r="J159" s="252"/>
    </row>
    <row r="160" spans="1:10" s="1" customFormat="1" ht="12.75" customHeight="1" x14ac:dyDescent="0.25">
      <c r="A160" s="124"/>
      <c r="B160" s="124"/>
      <c r="C160" s="124"/>
      <c r="D160" s="181" t="s">
        <v>203</v>
      </c>
      <c r="E160" s="116"/>
      <c r="F160" s="285"/>
      <c r="G160" s="285"/>
      <c r="H160" s="285"/>
      <c r="I160" s="249"/>
      <c r="J160" s="249"/>
    </row>
    <row r="161" spans="1:10" s="1" customFormat="1" ht="12.75" customHeight="1" x14ac:dyDescent="0.25">
      <c r="A161" s="124"/>
      <c r="B161" s="124"/>
      <c r="C161" s="124"/>
      <c r="D161" s="239" t="s">
        <v>197</v>
      </c>
      <c r="E161" s="118"/>
      <c r="F161" s="286"/>
      <c r="G161" s="286"/>
      <c r="H161" s="286"/>
      <c r="I161" s="250"/>
      <c r="J161" s="250"/>
    </row>
    <row r="162" spans="1:10" s="1" customFormat="1" ht="15.75" customHeight="1" x14ac:dyDescent="0.25">
      <c r="A162" s="124"/>
      <c r="B162" s="124"/>
      <c r="C162" s="124"/>
      <c r="D162" s="267" t="s">
        <v>302</v>
      </c>
      <c r="E162" s="197">
        <f t="shared" ref="E162:H164" si="17">SUM(E163)</f>
        <v>0</v>
      </c>
      <c r="F162" s="280">
        <f t="shared" si="17"/>
        <v>3000</v>
      </c>
      <c r="G162" s="280">
        <f t="shared" si="17"/>
        <v>4000</v>
      </c>
      <c r="H162" s="280">
        <f t="shared" si="17"/>
        <v>5000</v>
      </c>
      <c r="I162" s="331">
        <f>AVERAGE(G162/F162*100)</f>
        <v>133.33333333333331</v>
      </c>
      <c r="J162" s="331">
        <f>AVERAGE(H162/G162*100)</f>
        <v>125</v>
      </c>
    </row>
    <row r="163" spans="1:10" s="150" customFormat="1" ht="13.8" x14ac:dyDescent="0.25">
      <c r="A163" s="125" t="s">
        <v>312</v>
      </c>
      <c r="B163" s="121"/>
      <c r="C163" s="122">
        <v>37</v>
      </c>
      <c r="D163" s="121" t="s">
        <v>275</v>
      </c>
      <c r="E163" s="123">
        <f t="shared" si="17"/>
        <v>0</v>
      </c>
      <c r="F163" s="288">
        <f t="shared" si="17"/>
        <v>3000</v>
      </c>
      <c r="G163" s="288">
        <v>4000</v>
      </c>
      <c r="H163" s="288">
        <v>5000</v>
      </c>
      <c r="I163" s="330">
        <f t="shared" ref="I163:J165" si="18">AVERAGE(G163/F163*100)</f>
        <v>133.33333333333331</v>
      </c>
      <c r="J163" s="330">
        <f t="shared" si="18"/>
        <v>125</v>
      </c>
    </row>
    <row r="164" spans="1:10" s="150" customFormat="1" ht="13.8" x14ac:dyDescent="0.25">
      <c r="A164" s="125" t="s">
        <v>312</v>
      </c>
      <c r="B164" s="121"/>
      <c r="C164" s="122">
        <v>372</v>
      </c>
      <c r="D164" s="121" t="s">
        <v>276</v>
      </c>
      <c r="E164" s="123">
        <f>SUM(E165)</f>
        <v>0</v>
      </c>
      <c r="F164" s="288">
        <f t="shared" si="17"/>
        <v>3000</v>
      </c>
      <c r="G164" s="288"/>
      <c r="H164" s="288"/>
      <c r="I164" s="330">
        <f t="shared" si="18"/>
        <v>0</v>
      </c>
      <c r="J164" s="330"/>
    </row>
    <row r="165" spans="1:10" s="132" customFormat="1" ht="13.8" hidden="1" x14ac:dyDescent="0.25">
      <c r="A165" s="125" t="s">
        <v>312</v>
      </c>
      <c r="B165" s="125">
        <v>51</v>
      </c>
      <c r="C165" s="126">
        <v>3722</v>
      </c>
      <c r="D165" s="125" t="s">
        <v>79</v>
      </c>
      <c r="E165" s="127">
        <v>0</v>
      </c>
      <c r="F165" s="291">
        <v>3000</v>
      </c>
      <c r="G165" s="291"/>
      <c r="H165" s="291"/>
      <c r="I165" s="330">
        <f t="shared" si="18"/>
        <v>0</v>
      </c>
      <c r="J165" s="330"/>
    </row>
    <row r="166" spans="1:10" s="132" customFormat="1" ht="14.4" thickBot="1" x14ac:dyDescent="0.3">
      <c r="A166" s="129"/>
      <c r="B166" s="129"/>
      <c r="C166" s="130"/>
      <c r="D166" s="129"/>
      <c r="E166" s="131"/>
      <c r="F166" s="293"/>
      <c r="G166" s="293"/>
      <c r="H166" s="293"/>
      <c r="I166" s="252"/>
      <c r="J166" s="252"/>
    </row>
    <row r="167" spans="1:10" s="1" customFormat="1" ht="15.75" customHeight="1" thickBot="1" x14ac:dyDescent="0.35">
      <c r="A167" s="873" t="s">
        <v>274</v>
      </c>
      <c r="B167" s="874"/>
      <c r="C167" s="874"/>
      <c r="D167" s="875"/>
      <c r="E167" s="111">
        <f>SUM(E171)</f>
        <v>0</v>
      </c>
      <c r="F167" s="283">
        <f>SUM(F171)</f>
        <v>191000</v>
      </c>
      <c r="G167" s="283">
        <f>SUM(G171)</f>
        <v>200000</v>
      </c>
      <c r="H167" s="283">
        <f>SUM(H171)</f>
        <v>200000</v>
      </c>
      <c r="I167" s="248">
        <f>AVERAGE(G167/F167*100)</f>
        <v>104.71204188481676</v>
      </c>
      <c r="J167" s="248">
        <f>AVERAGE(H167/G167*100)</f>
        <v>100</v>
      </c>
    </row>
    <row r="168" spans="1:10" s="1" customFormat="1" ht="15.75" customHeight="1" x14ac:dyDescent="0.25">
      <c r="A168" s="194"/>
      <c r="B168" s="194"/>
      <c r="C168" s="194"/>
      <c r="D168" s="194"/>
      <c r="E168" s="195"/>
      <c r="F168" s="306"/>
      <c r="G168" s="306"/>
      <c r="H168" s="306"/>
      <c r="I168" s="247"/>
      <c r="J168" s="247"/>
    </row>
    <row r="169" spans="1:10" s="1" customFormat="1" ht="12.75" customHeight="1" x14ac:dyDescent="0.25">
      <c r="A169" s="124"/>
      <c r="B169" s="124"/>
      <c r="C169" s="124"/>
      <c r="D169" s="181" t="s">
        <v>203</v>
      </c>
      <c r="E169" s="116"/>
      <c r="F169" s="285"/>
      <c r="G169" s="285"/>
      <c r="H169" s="285"/>
      <c r="I169" s="249"/>
      <c r="J169" s="249"/>
    </row>
    <row r="170" spans="1:10" s="1" customFormat="1" ht="12.75" customHeight="1" x14ac:dyDescent="0.25">
      <c r="A170" s="124"/>
      <c r="B170" s="124"/>
      <c r="C170" s="124"/>
      <c r="D170" s="239" t="s">
        <v>197</v>
      </c>
      <c r="E170" s="118"/>
      <c r="F170" s="286"/>
      <c r="G170" s="286"/>
      <c r="H170" s="286"/>
      <c r="I170" s="250"/>
      <c r="J170" s="250"/>
    </row>
    <row r="171" spans="1:10" s="1" customFormat="1" ht="15.75" customHeight="1" x14ac:dyDescent="0.25">
      <c r="A171" s="124"/>
      <c r="B171" s="124"/>
      <c r="C171" s="124"/>
      <c r="D171" s="267" t="s">
        <v>303</v>
      </c>
      <c r="E171" s="197">
        <f t="shared" ref="E171:H172" si="19">SUM(E172)</f>
        <v>0</v>
      </c>
      <c r="F171" s="280">
        <f t="shared" si="19"/>
        <v>191000</v>
      </c>
      <c r="G171" s="280">
        <f t="shared" si="19"/>
        <v>200000</v>
      </c>
      <c r="H171" s="280">
        <f t="shared" si="19"/>
        <v>200000</v>
      </c>
      <c r="I171" s="331">
        <f>AVERAGE(G171/F171*100)</f>
        <v>104.71204188481676</v>
      </c>
      <c r="J171" s="331">
        <f>AVERAGE(H171/G171*100)</f>
        <v>100</v>
      </c>
    </row>
    <row r="172" spans="1:10" s="150" customFormat="1" ht="13.8" x14ac:dyDescent="0.25">
      <c r="A172" s="125" t="s">
        <v>313</v>
      </c>
      <c r="B172" s="121"/>
      <c r="C172" s="122">
        <v>37</v>
      </c>
      <c r="D172" s="121" t="s">
        <v>275</v>
      </c>
      <c r="E172" s="123">
        <f t="shared" si="19"/>
        <v>0</v>
      </c>
      <c r="F172" s="288">
        <f t="shared" si="19"/>
        <v>191000</v>
      </c>
      <c r="G172" s="288">
        <v>200000</v>
      </c>
      <c r="H172" s="288">
        <v>200000</v>
      </c>
      <c r="I172" s="330">
        <f t="shared" ref="I172:J174" si="20">AVERAGE(G172/F172*100)</f>
        <v>104.71204188481676</v>
      </c>
      <c r="J172" s="330">
        <f t="shared" si="20"/>
        <v>100</v>
      </c>
    </row>
    <row r="173" spans="1:10" s="150" customFormat="1" ht="13.8" x14ac:dyDescent="0.25">
      <c r="A173" s="125" t="s">
        <v>313</v>
      </c>
      <c r="B173" s="121"/>
      <c r="C173" s="122">
        <v>372</v>
      </c>
      <c r="D173" s="121" t="s">
        <v>276</v>
      </c>
      <c r="E173" s="123">
        <f>SUM(E174)</f>
        <v>0</v>
      </c>
      <c r="F173" s="288">
        <f>SUM(F174)</f>
        <v>191000</v>
      </c>
      <c r="G173" s="288"/>
      <c r="H173" s="288"/>
      <c r="I173" s="330">
        <f t="shared" si="20"/>
        <v>0</v>
      </c>
      <c r="J173" s="330"/>
    </row>
    <row r="174" spans="1:10" s="132" customFormat="1" ht="13.8" hidden="1" x14ac:dyDescent="0.25">
      <c r="A174" s="125" t="s">
        <v>313</v>
      </c>
      <c r="B174" s="125">
        <v>52</v>
      </c>
      <c r="C174" s="126">
        <v>37215</v>
      </c>
      <c r="D174" s="125" t="s">
        <v>277</v>
      </c>
      <c r="E174" s="127">
        <v>0</v>
      </c>
      <c r="F174" s="291">
        <v>191000</v>
      </c>
      <c r="G174" s="291"/>
      <c r="H174" s="291"/>
      <c r="I174" s="330">
        <f t="shared" si="20"/>
        <v>0</v>
      </c>
      <c r="J174" s="330"/>
    </row>
    <row r="175" spans="1:10" s="132" customFormat="1" ht="14.4" thickBot="1" x14ac:dyDescent="0.3">
      <c r="A175" s="129"/>
      <c r="B175" s="129"/>
      <c r="C175" s="130"/>
      <c r="D175" s="129"/>
      <c r="E175" s="131"/>
      <c r="F175" s="293"/>
      <c r="G175" s="293"/>
      <c r="H175" s="293"/>
      <c r="I175" s="252"/>
      <c r="J175" s="252"/>
    </row>
    <row r="176" spans="1:10" s="193" customFormat="1" ht="17.399999999999999" thickBot="1" x14ac:dyDescent="0.35">
      <c r="A176" s="912" t="s">
        <v>273</v>
      </c>
      <c r="B176" s="913"/>
      <c r="C176" s="913"/>
      <c r="D176" s="914"/>
      <c r="E176" s="198">
        <f>SUM(E178+E199)</f>
        <v>360000</v>
      </c>
      <c r="F176" s="308">
        <f>SUM(F178+F199)</f>
        <v>141000</v>
      </c>
      <c r="G176" s="308">
        <f>SUM(G178+G199)</f>
        <v>149000</v>
      </c>
      <c r="H176" s="308">
        <f>SUM(H178+H199)</f>
        <v>154000</v>
      </c>
      <c r="I176" s="246">
        <f>AVERAGE(G176/F176*100)</f>
        <v>105.67375886524823</v>
      </c>
      <c r="J176" s="246">
        <f>AVERAGE(H176/G176*100)</f>
        <v>103.35570469798658</v>
      </c>
    </row>
    <row r="177" spans="1:10" s="193" customFormat="1" ht="17.399999999999999" thickBot="1" x14ac:dyDescent="0.35">
      <c r="A177" s="191"/>
      <c r="B177" s="191"/>
      <c r="C177" s="191"/>
      <c r="D177" s="191"/>
      <c r="E177" s="192"/>
      <c r="F177" s="305"/>
      <c r="G177" s="305"/>
      <c r="H177" s="305"/>
      <c r="I177" s="247"/>
      <c r="J177" s="247"/>
    </row>
    <row r="178" spans="1:10" s="112" customFormat="1" ht="16.2" thickBot="1" x14ac:dyDescent="0.35">
      <c r="A178" s="873" t="s">
        <v>207</v>
      </c>
      <c r="B178" s="874"/>
      <c r="C178" s="874"/>
      <c r="D178" s="875"/>
      <c r="E178" s="111">
        <f>SUM(E183+E194)</f>
        <v>360000</v>
      </c>
      <c r="F178" s="283">
        <f>SUM(F183+F194)</f>
        <v>106000</v>
      </c>
      <c r="G178" s="283">
        <f>SUM(G183+G194)</f>
        <v>99000</v>
      </c>
      <c r="H178" s="283">
        <f>SUM(H183+H194)</f>
        <v>104000</v>
      </c>
      <c r="I178" s="248">
        <f>AVERAGE(G178/F178*100)</f>
        <v>93.396226415094347</v>
      </c>
      <c r="J178" s="248">
        <f>AVERAGE(H178/G178*100)</f>
        <v>105.05050505050507</v>
      </c>
    </row>
    <row r="179" spans="1:10" s="112" customFormat="1" ht="15.6" x14ac:dyDescent="0.3">
      <c r="A179" s="194"/>
      <c r="B179" s="194"/>
      <c r="C179" s="194"/>
      <c r="D179" s="194"/>
      <c r="E179" s="199"/>
      <c r="F179" s="309"/>
      <c r="G179" s="309"/>
      <c r="H179" s="309"/>
      <c r="I179" s="247"/>
      <c r="J179" s="247"/>
    </row>
    <row r="180" spans="1:10" s="1" customFormat="1" ht="13.8" x14ac:dyDescent="0.25">
      <c r="A180" s="124"/>
      <c r="B180" s="124"/>
      <c r="C180" s="124"/>
      <c r="D180" s="115" t="s">
        <v>208</v>
      </c>
      <c r="E180" s="116"/>
      <c r="F180" s="285"/>
      <c r="G180" s="285"/>
      <c r="H180" s="285"/>
      <c r="I180" s="257"/>
      <c r="J180" s="257"/>
    </row>
    <row r="181" spans="1:10" s="1" customFormat="1" ht="15" customHeight="1" x14ac:dyDescent="0.25">
      <c r="A181" s="124"/>
      <c r="B181" s="124"/>
      <c r="C181" s="124"/>
      <c r="D181" s="239" t="s">
        <v>209</v>
      </c>
      <c r="E181" s="118"/>
      <c r="F181" s="286"/>
      <c r="G181" s="286"/>
      <c r="H181" s="286"/>
      <c r="I181" s="258"/>
      <c r="J181" s="258"/>
    </row>
    <row r="182" spans="1:10" s="1" customFormat="1" ht="15" customHeight="1" x14ac:dyDescent="0.25">
      <c r="A182" s="124"/>
      <c r="B182" s="124"/>
      <c r="C182" s="124"/>
      <c r="D182" s="882" t="s">
        <v>304</v>
      </c>
      <c r="E182" s="118"/>
      <c r="F182" s="286"/>
      <c r="G182" s="286"/>
      <c r="H182" s="286"/>
      <c r="I182" s="259"/>
      <c r="J182" s="259"/>
    </row>
    <row r="183" spans="1:10" s="1" customFormat="1" ht="15.75" customHeight="1" x14ac:dyDescent="0.25">
      <c r="A183" s="176"/>
      <c r="B183" s="176"/>
      <c r="C183" s="176"/>
      <c r="D183" s="883"/>
      <c r="E183" s="197">
        <f>SUM(E184+E188)</f>
        <v>360000</v>
      </c>
      <c r="F183" s="280">
        <f>SUM(F184+F188)</f>
        <v>102000</v>
      </c>
      <c r="G183" s="280">
        <f>SUM(G184+G188)</f>
        <v>95000</v>
      </c>
      <c r="H183" s="280">
        <f>SUM(H184+H188)</f>
        <v>100000</v>
      </c>
      <c r="I183" s="331">
        <f>AVERAGE(G183/F183*100)</f>
        <v>93.137254901960787</v>
      </c>
      <c r="J183" s="331">
        <f>AVERAGE(H183/G183*100)</f>
        <v>105.26315789473684</v>
      </c>
    </row>
    <row r="184" spans="1:10" s="150" customFormat="1" ht="13.8" x14ac:dyDescent="0.25">
      <c r="A184" s="165" t="s">
        <v>292</v>
      </c>
      <c r="B184" s="121"/>
      <c r="C184" s="163">
        <v>37</v>
      </c>
      <c r="D184" s="164" t="s">
        <v>77</v>
      </c>
      <c r="E184" s="123">
        <f>SUM(E185)</f>
        <v>340000</v>
      </c>
      <c r="F184" s="288">
        <f>SUM(F185)</f>
        <v>87000</v>
      </c>
      <c r="G184" s="288">
        <v>85000</v>
      </c>
      <c r="H184" s="288">
        <v>90000</v>
      </c>
      <c r="I184" s="330">
        <f t="shared" ref="I184:J190" si="21">AVERAGE(G184/F184*100)</f>
        <v>97.701149425287355</v>
      </c>
      <c r="J184" s="330">
        <f t="shared" si="21"/>
        <v>105.88235294117648</v>
      </c>
    </row>
    <row r="185" spans="1:10" s="132" customFormat="1" ht="13.8" x14ac:dyDescent="0.25">
      <c r="A185" s="165" t="s">
        <v>292</v>
      </c>
      <c r="B185" s="121"/>
      <c r="C185" s="163">
        <v>372</v>
      </c>
      <c r="D185" s="164" t="s">
        <v>77</v>
      </c>
      <c r="E185" s="123">
        <f>SUM(E186:E187)</f>
        <v>340000</v>
      </c>
      <c r="F185" s="288">
        <f>SUM(F186:F187)</f>
        <v>87000</v>
      </c>
      <c r="G185" s="288"/>
      <c r="H185" s="288"/>
      <c r="I185" s="330">
        <f t="shared" si="21"/>
        <v>0</v>
      </c>
      <c r="J185" s="330"/>
    </row>
    <row r="186" spans="1:10" s="132" customFormat="1" ht="13.8" hidden="1" x14ac:dyDescent="0.25">
      <c r="A186" s="165" t="s">
        <v>292</v>
      </c>
      <c r="B186" s="125">
        <v>53</v>
      </c>
      <c r="C186" s="165">
        <v>3721</v>
      </c>
      <c r="D186" s="166" t="s">
        <v>78</v>
      </c>
      <c r="E186" s="127">
        <v>320000</v>
      </c>
      <c r="F186" s="291">
        <v>80000</v>
      </c>
      <c r="G186" s="291"/>
      <c r="H186" s="291"/>
      <c r="I186" s="330">
        <f t="shared" si="21"/>
        <v>0</v>
      </c>
      <c r="J186" s="330"/>
    </row>
    <row r="187" spans="1:10" s="132" customFormat="1" ht="13.8" hidden="1" x14ac:dyDescent="0.25">
      <c r="A187" s="165" t="s">
        <v>292</v>
      </c>
      <c r="B187" s="125">
        <v>54</v>
      </c>
      <c r="C187" s="165">
        <v>3722</v>
      </c>
      <c r="D187" s="166" t="s">
        <v>79</v>
      </c>
      <c r="E187" s="127">
        <v>20000</v>
      </c>
      <c r="F187" s="291">
        <v>7000</v>
      </c>
      <c r="G187" s="291"/>
      <c r="H187" s="291"/>
      <c r="I187" s="330">
        <f t="shared" si="21"/>
        <v>0</v>
      </c>
      <c r="J187" s="330"/>
    </row>
    <row r="188" spans="1:10" s="183" customFormat="1" ht="13.8" x14ac:dyDescent="0.25">
      <c r="A188" s="165" t="s">
        <v>292</v>
      </c>
      <c r="B188" s="163"/>
      <c r="C188" s="122">
        <v>38</v>
      </c>
      <c r="D188" s="164" t="s">
        <v>128</v>
      </c>
      <c r="E188" s="123">
        <f>SUM(E189)</f>
        <v>20000</v>
      </c>
      <c r="F188" s="288">
        <f>SUM(F189)</f>
        <v>15000</v>
      </c>
      <c r="G188" s="288">
        <v>10000</v>
      </c>
      <c r="H188" s="288">
        <v>10000</v>
      </c>
      <c r="I188" s="330">
        <f t="shared" si="21"/>
        <v>66.666666666666657</v>
      </c>
      <c r="J188" s="330">
        <f t="shared" si="21"/>
        <v>100</v>
      </c>
    </row>
    <row r="189" spans="1:10" s="183" customFormat="1" ht="13.8" x14ac:dyDescent="0.25">
      <c r="A189" s="165" t="s">
        <v>292</v>
      </c>
      <c r="B189" s="163"/>
      <c r="C189" s="122">
        <v>382</v>
      </c>
      <c r="D189" s="164" t="s">
        <v>38</v>
      </c>
      <c r="E189" s="123">
        <f>SUM(E190)</f>
        <v>20000</v>
      </c>
      <c r="F189" s="288">
        <f>SUM(F190)</f>
        <v>15000</v>
      </c>
      <c r="G189" s="288"/>
      <c r="H189" s="288"/>
      <c r="I189" s="330">
        <f t="shared" si="21"/>
        <v>0</v>
      </c>
      <c r="J189" s="330"/>
    </row>
    <row r="190" spans="1:10" s="178" customFormat="1" ht="13.8" hidden="1" x14ac:dyDescent="0.25">
      <c r="A190" s="165" t="s">
        <v>292</v>
      </c>
      <c r="B190" s="233">
        <v>55</v>
      </c>
      <c r="C190" s="126">
        <v>3822</v>
      </c>
      <c r="D190" s="166" t="s">
        <v>88</v>
      </c>
      <c r="E190" s="127">
        <v>20000</v>
      </c>
      <c r="F190" s="291">
        <v>15000</v>
      </c>
      <c r="G190" s="291"/>
      <c r="H190" s="291"/>
      <c r="I190" s="330">
        <f t="shared" si="21"/>
        <v>0</v>
      </c>
      <c r="J190" s="330"/>
    </row>
    <row r="191" spans="1:10" s="190" customFormat="1" x14ac:dyDescent="0.25">
      <c r="A191" s="186"/>
      <c r="B191" s="105"/>
      <c r="C191" s="186"/>
      <c r="D191" s="105"/>
      <c r="E191" s="186"/>
      <c r="F191" s="304"/>
      <c r="G191" s="304"/>
      <c r="H191" s="304"/>
      <c r="I191" s="255"/>
      <c r="J191" s="255"/>
    </row>
    <row r="192" spans="1:10" s="200" customFormat="1" ht="13.8" x14ac:dyDescent="0.25">
      <c r="B192" s="95"/>
      <c r="C192" s="201"/>
      <c r="D192" s="202" t="s">
        <v>208</v>
      </c>
      <c r="E192" s="116"/>
      <c r="F192" s="285"/>
      <c r="G192" s="285"/>
      <c r="H192" s="285"/>
      <c r="I192" s="257"/>
      <c r="J192" s="257"/>
    </row>
    <row r="193" spans="1:10" s="200" customFormat="1" ht="13.8" x14ac:dyDescent="0.25">
      <c r="B193" s="95"/>
      <c r="C193" s="201"/>
      <c r="D193" s="238" t="s">
        <v>197</v>
      </c>
      <c r="E193" s="203"/>
      <c r="F193" s="310"/>
      <c r="G193" s="310"/>
      <c r="H193" s="310"/>
      <c r="I193" s="258"/>
      <c r="J193" s="258"/>
    </row>
    <row r="194" spans="1:10" s="95" customFormat="1" ht="27.6" x14ac:dyDescent="0.25">
      <c r="C194" s="201"/>
      <c r="D194" s="272" t="s">
        <v>305</v>
      </c>
      <c r="E194" s="197">
        <f t="shared" ref="E194:H196" si="22">SUM(E195)</f>
        <v>0</v>
      </c>
      <c r="F194" s="280">
        <f t="shared" si="22"/>
        <v>4000</v>
      </c>
      <c r="G194" s="280">
        <f t="shared" si="22"/>
        <v>4000</v>
      </c>
      <c r="H194" s="280">
        <f t="shared" si="22"/>
        <v>4000</v>
      </c>
      <c r="I194" s="332">
        <f>AVERAGE(G194/F194*100)</f>
        <v>100</v>
      </c>
      <c r="J194" s="332">
        <f>AVERAGE(H194/G194*100)</f>
        <v>100</v>
      </c>
    </row>
    <row r="195" spans="1:10" s="183" customFormat="1" ht="13.8" x14ac:dyDescent="0.25">
      <c r="A195" s="165" t="s">
        <v>306</v>
      </c>
      <c r="B195" s="163"/>
      <c r="C195" s="122">
        <v>37</v>
      </c>
      <c r="D195" s="164" t="s">
        <v>77</v>
      </c>
      <c r="E195" s="123">
        <f t="shared" si="22"/>
        <v>0</v>
      </c>
      <c r="F195" s="288">
        <f t="shared" si="22"/>
        <v>4000</v>
      </c>
      <c r="G195" s="288">
        <v>4000</v>
      </c>
      <c r="H195" s="288">
        <v>4000</v>
      </c>
      <c r="I195" s="330">
        <f t="shared" ref="I195:J197" si="23">AVERAGE(G195/F195*100)</f>
        <v>100</v>
      </c>
      <c r="J195" s="330">
        <f t="shared" si="23"/>
        <v>100</v>
      </c>
    </row>
    <row r="196" spans="1:10" s="183" customFormat="1" ht="13.8" x14ac:dyDescent="0.25">
      <c r="A196" s="165" t="s">
        <v>306</v>
      </c>
      <c r="B196" s="163"/>
      <c r="C196" s="122">
        <v>372</v>
      </c>
      <c r="D196" s="164" t="s">
        <v>77</v>
      </c>
      <c r="E196" s="123">
        <f t="shared" si="22"/>
        <v>0</v>
      </c>
      <c r="F196" s="288">
        <f t="shared" si="22"/>
        <v>4000</v>
      </c>
      <c r="G196" s="288"/>
      <c r="H196" s="288"/>
      <c r="I196" s="330">
        <f t="shared" si="23"/>
        <v>0</v>
      </c>
      <c r="J196" s="330"/>
    </row>
    <row r="197" spans="1:10" s="178" customFormat="1" ht="13.8" hidden="1" x14ac:dyDescent="0.25">
      <c r="A197" s="165" t="s">
        <v>306</v>
      </c>
      <c r="B197" s="233">
        <v>56</v>
      </c>
      <c r="C197" s="126">
        <v>3721</v>
      </c>
      <c r="D197" s="166" t="s">
        <v>78</v>
      </c>
      <c r="E197" s="127">
        <v>0</v>
      </c>
      <c r="F197" s="291">
        <v>4000</v>
      </c>
      <c r="G197" s="291"/>
      <c r="H197" s="291"/>
      <c r="I197" s="330">
        <f t="shared" si="23"/>
        <v>0</v>
      </c>
      <c r="J197" s="330"/>
    </row>
    <row r="198" spans="1:10" s="178" customFormat="1" ht="14.4" thickBot="1" x14ac:dyDescent="0.3">
      <c r="A198" s="172"/>
      <c r="B198" s="172"/>
      <c r="C198" s="130"/>
      <c r="D198" s="173"/>
      <c r="E198" s="131"/>
      <c r="F198" s="293"/>
      <c r="G198" s="293"/>
      <c r="H198" s="293"/>
      <c r="I198" s="252"/>
      <c r="J198" s="252"/>
    </row>
    <row r="199" spans="1:10" s="99" customFormat="1" ht="16.5" customHeight="1" thickBot="1" x14ac:dyDescent="0.35">
      <c r="A199" s="885" t="s">
        <v>210</v>
      </c>
      <c r="B199" s="886"/>
      <c r="C199" s="886"/>
      <c r="D199" s="887"/>
      <c r="E199" s="111">
        <f>SUM(E203)</f>
        <v>0</v>
      </c>
      <c r="F199" s="283">
        <f>SUM(F203)</f>
        <v>35000</v>
      </c>
      <c r="G199" s="283">
        <f>SUM(G203)</f>
        <v>50000</v>
      </c>
      <c r="H199" s="283">
        <f>SUM(H203)</f>
        <v>50000</v>
      </c>
      <c r="I199" s="248">
        <f>AVERAGE(G199/F199*100)</f>
        <v>142.85714285714286</v>
      </c>
      <c r="J199" s="248">
        <f>AVERAGE(H199/G199*100)</f>
        <v>100</v>
      </c>
    </row>
    <row r="200" spans="1:10" s="99" customFormat="1" ht="15.6" x14ac:dyDescent="0.3">
      <c r="A200" s="100"/>
      <c r="B200" s="100"/>
      <c r="C200" s="100"/>
      <c r="D200" s="100"/>
      <c r="E200" s="199"/>
      <c r="F200" s="309"/>
      <c r="G200" s="309"/>
      <c r="H200" s="309"/>
      <c r="I200" s="247"/>
      <c r="J200" s="247"/>
    </row>
    <row r="201" spans="1:10" s="200" customFormat="1" ht="13.8" x14ac:dyDescent="0.25">
      <c r="D201" s="202" t="s">
        <v>211</v>
      </c>
      <c r="E201" s="182"/>
      <c r="F201" s="303"/>
      <c r="G201" s="303"/>
      <c r="H201" s="303"/>
      <c r="I201" s="249"/>
      <c r="J201" s="249"/>
    </row>
    <row r="202" spans="1:10" s="200" customFormat="1" x14ac:dyDescent="0.25">
      <c r="D202" s="238" t="s">
        <v>195</v>
      </c>
      <c r="E202" s="204"/>
      <c r="F202" s="311"/>
      <c r="G202" s="311"/>
      <c r="H202" s="311"/>
      <c r="I202" s="250"/>
      <c r="J202" s="250"/>
    </row>
    <row r="203" spans="1:10" s="95" customFormat="1" ht="13.8" x14ac:dyDescent="0.25">
      <c r="A203" s="200"/>
      <c r="B203" s="200"/>
      <c r="C203" s="200"/>
      <c r="D203" s="272" t="s">
        <v>314</v>
      </c>
      <c r="E203" s="197">
        <f t="shared" ref="E203:H205" si="24">SUM(E204)</f>
        <v>0</v>
      </c>
      <c r="F203" s="280">
        <f t="shared" si="24"/>
        <v>35000</v>
      </c>
      <c r="G203" s="280">
        <f t="shared" si="24"/>
        <v>50000</v>
      </c>
      <c r="H203" s="280">
        <f t="shared" si="24"/>
        <v>50000</v>
      </c>
      <c r="I203" s="332">
        <f>AVERAGE(G203/F203*100)</f>
        <v>142.85714285714286</v>
      </c>
      <c r="J203" s="332">
        <f>AVERAGE(H203/G203*100)</f>
        <v>100</v>
      </c>
    </row>
    <row r="204" spans="1:10" s="150" customFormat="1" ht="13.8" x14ac:dyDescent="0.25">
      <c r="A204" s="125" t="s">
        <v>293</v>
      </c>
      <c r="B204" s="121"/>
      <c r="C204" s="163">
        <v>32</v>
      </c>
      <c r="D204" s="164" t="s">
        <v>180</v>
      </c>
      <c r="E204" s="123">
        <f t="shared" si="24"/>
        <v>0</v>
      </c>
      <c r="F204" s="288">
        <f t="shared" si="24"/>
        <v>35000</v>
      </c>
      <c r="G204" s="288">
        <v>50000</v>
      </c>
      <c r="H204" s="288">
        <v>50000</v>
      </c>
      <c r="I204" s="330">
        <f t="shared" ref="I204:J206" si="25">AVERAGE(G204/F204*100)</f>
        <v>142.85714285714286</v>
      </c>
      <c r="J204" s="330">
        <f t="shared" si="25"/>
        <v>100</v>
      </c>
    </row>
    <row r="205" spans="1:10" s="150" customFormat="1" ht="13.8" x14ac:dyDescent="0.25">
      <c r="A205" s="125" t="s">
        <v>293</v>
      </c>
      <c r="B205" s="121"/>
      <c r="C205" s="163">
        <v>323</v>
      </c>
      <c r="D205" s="164" t="s">
        <v>56</v>
      </c>
      <c r="E205" s="123">
        <f t="shared" si="24"/>
        <v>0</v>
      </c>
      <c r="F205" s="288">
        <f t="shared" si="24"/>
        <v>35000</v>
      </c>
      <c r="G205" s="288"/>
      <c r="H205" s="288"/>
      <c r="I205" s="330">
        <f t="shared" si="25"/>
        <v>0</v>
      </c>
      <c r="J205" s="330"/>
    </row>
    <row r="206" spans="1:10" s="178" customFormat="1" ht="13.8" hidden="1" x14ac:dyDescent="0.25">
      <c r="A206" s="125" t="s">
        <v>293</v>
      </c>
      <c r="B206" s="165">
        <v>57</v>
      </c>
      <c r="C206" s="126">
        <v>3234</v>
      </c>
      <c r="D206" s="166" t="s">
        <v>60</v>
      </c>
      <c r="E206" s="127">
        <v>0</v>
      </c>
      <c r="F206" s="291">
        <v>35000</v>
      </c>
      <c r="G206" s="291"/>
      <c r="H206" s="291"/>
      <c r="I206" s="330">
        <f t="shared" si="25"/>
        <v>0</v>
      </c>
      <c r="J206" s="330"/>
    </row>
    <row r="207" spans="1:10" s="178" customFormat="1" ht="14.4" thickBot="1" x14ac:dyDescent="0.3">
      <c r="A207" s="132"/>
      <c r="C207" s="189"/>
      <c r="D207" s="179"/>
      <c r="E207" s="180"/>
      <c r="F207" s="302"/>
      <c r="G207" s="302"/>
      <c r="H207" s="302"/>
      <c r="I207" s="252"/>
      <c r="J207" s="252"/>
    </row>
    <row r="208" spans="1:10" s="193" customFormat="1" ht="17.25" customHeight="1" thickBot="1" x14ac:dyDescent="0.35">
      <c r="A208" s="888" t="s">
        <v>212</v>
      </c>
      <c r="B208" s="889"/>
      <c r="C208" s="889"/>
      <c r="D208" s="890"/>
      <c r="E208" s="198">
        <f>SUM(E210+E244)</f>
        <v>15000</v>
      </c>
      <c r="F208" s="308">
        <f>SUM(F210+F244)</f>
        <v>140000</v>
      </c>
      <c r="G208" s="308">
        <f>SUM(G210+G244)</f>
        <v>175000</v>
      </c>
      <c r="H208" s="308">
        <f>SUM(H210+H244)</f>
        <v>195000</v>
      </c>
      <c r="I208" s="246">
        <f>AVERAGE(G208/F208*100)</f>
        <v>125</v>
      </c>
      <c r="J208" s="246">
        <f>AVERAGE(H208/G208*100)</f>
        <v>111.42857142857143</v>
      </c>
    </row>
    <row r="209" spans="1:10" s="193" customFormat="1" ht="17.399999999999999" thickBot="1" x14ac:dyDescent="0.35">
      <c r="A209" s="205"/>
      <c r="B209" s="205"/>
      <c r="C209" s="205"/>
      <c r="D209" s="205"/>
      <c r="E209" s="192"/>
      <c r="F209" s="305"/>
      <c r="G209" s="305"/>
      <c r="H209" s="305"/>
      <c r="I209" s="247"/>
      <c r="J209" s="247"/>
    </row>
    <row r="210" spans="1:10" s="99" customFormat="1" ht="16.5" customHeight="1" thickBot="1" x14ac:dyDescent="0.35">
      <c r="A210" s="891" t="s">
        <v>213</v>
      </c>
      <c r="B210" s="892"/>
      <c r="C210" s="892"/>
      <c r="D210" s="893"/>
      <c r="E210" s="111">
        <f>SUM(E214+E221+E228+E239)</f>
        <v>5000</v>
      </c>
      <c r="F210" s="283">
        <f>SUM(F214+F221+F228+F239)</f>
        <v>135000</v>
      </c>
      <c r="G210" s="283">
        <f>SUM(G214+G221+G228+G239)</f>
        <v>170000</v>
      </c>
      <c r="H210" s="283">
        <f>SUM(H214+H221+H228+H239)</f>
        <v>190000</v>
      </c>
      <c r="I210" s="248">
        <f>AVERAGE(G210/F210*100)</f>
        <v>125.92592592592592</v>
      </c>
      <c r="J210" s="248">
        <f>AVERAGE(H210/G210*100)</f>
        <v>111.76470588235294</v>
      </c>
    </row>
    <row r="211" spans="1:10" s="99" customFormat="1" ht="15.6" x14ac:dyDescent="0.3">
      <c r="A211" s="206"/>
      <c r="B211" s="206"/>
      <c r="C211" s="206"/>
      <c r="D211" s="206"/>
      <c r="E211" s="199"/>
      <c r="F211" s="309"/>
      <c r="G211" s="309"/>
      <c r="H211" s="309"/>
      <c r="I211" s="247"/>
      <c r="J211" s="247"/>
    </row>
    <row r="212" spans="1:10" ht="13.8" x14ac:dyDescent="0.25">
      <c r="A212" s="915"/>
      <c r="B212" s="915"/>
      <c r="C212" s="916"/>
      <c r="D212" s="115" t="s">
        <v>214</v>
      </c>
      <c r="E212" s="116"/>
      <c r="F212" s="285"/>
      <c r="G212" s="285"/>
      <c r="H212" s="285"/>
      <c r="I212" s="249"/>
      <c r="J212" s="249"/>
    </row>
    <row r="213" spans="1:10" ht="13.8" x14ac:dyDescent="0.25">
      <c r="A213" s="915"/>
      <c r="B213" s="915"/>
      <c r="C213" s="916"/>
      <c r="D213" s="239" t="s">
        <v>215</v>
      </c>
      <c r="E213" s="118"/>
      <c r="F213" s="286"/>
      <c r="G213" s="286"/>
      <c r="H213" s="286"/>
      <c r="I213" s="250"/>
      <c r="J213" s="250"/>
    </row>
    <row r="214" spans="1:10" s="1" customFormat="1" ht="13.8" x14ac:dyDescent="0.25">
      <c r="A214" s="917"/>
      <c r="B214" s="917"/>
      <c r="C214" s="918"/>
      <c r="D214" s="268" t="s">
        <v>315</v>
      </c>
      <c r="E214" s="197">
        <f t="shared" ref="E214:H216" si="26">SUM(E215)</f>
        <v>5000</v>
      </c>
      <c r="F214" s="280">
        <f t="shared" si="26"/>
        <v>100000</v>
      </c>
      <c r="G214" s="280">
        <f t="shared" si="26"/>
        <v>120000</v>
      </c>
      <c r="H214" s="280">
        <f t="shared" si="26"/>
        <v>150000</v>
      </c>
      <c r="I214" s="332">
        <f>AVERAGE(G214/F214*100)</f>
        <v>120</v>
      </c>
      <c r="J214" s="332">
        <f>AVERAGE(H214/G214*100)</f>
        <v>125</v>
      </c>
    </row>
    <row r="215" spans="1:10" s="183" customFormat="1" ht="13.8" x14ac:dyDescent="0.25">
      <c r="A215" s="151" t="s">
        <v>292</v>
      </c>
      <c r="B215" s="163"/>
      <c r="C215" s="122">
        <v>32</v>
      </c>
      <c r="D215" s="164" t="s">
        <v>180</v>
      </c>
      <c r="E215" s="123">
        <f t="shared" si="26"/>
        <v>5000</v>
      </c>
      <c r="F215" s="288">
        <f t="shared" si="26"/>
        <v>100000</v>
      </c>
      <c r="G215" s="288">
        <v>120000</v>
      </c>
      <c r="H215" s="288">
        <v>150000</v>
      </c>
      <c r="I215" s="330">
        <f t="shared" ref="I215:J217" si="27">AVERAGE(G215/F215*100)</f>
        <v>120</v>
      </c>
      <c r="J215" s="330">
        <f t="shared" si="27"/>
        <v>125</v>
      </c>
    </row>
    <row r="216" spans="1:10" s="183" customFormat="1" ht="13.8" x14ac:dyDescent="0.25">
      <c r="A216" s="151" t="s">
        <v>292</v>
      </c>
      <c r="B216" s="163"/>
      <c r="C216" s="122">
        <v>323</v>
      </c>
      <c r="D216" s="164" t="s">
        <v>56</v>
      </c>
      <c r="E216" s="123">
        <f t="shared" si="26"/>
        <v>5000</v>
      </c>
      <c r="F216" s="288">
        <f t="shared" si="26"/>
        <v>100000</v>
      </c>
      <c r="G216" s="288"/>
      <c r="H216" s="288"/>
      <c r="I216" s="330">
        <f t="shared" si="27"/>
        <v>0</v>
      </c>
      <c r="J216" s="330"/>
    </row>
    <row r="217" spans="1:10" s="178" customFormat="1" ht="13.8" hidden="1" x14ac:dyDescent="0.25">
      <c r="A217" s="151" t="s">
        <v>292</v>
      </c>
      <c r="B217" s="165">
        <v>58</v>
      </c>
      <c r="C217" s="126">
        <v>3239</v>
      </c>
      <c r="D217" s="166" t="s">
        <v>216</v>
      </c>
      <c r="E217" s="127">
        <v>5000</v>
      </c>
      <c r="F217" s="291">
        <v>100000</v>
      </c>
      <c r="G217" s="291"/>
      <c r="H217" s="291"/>
      <c r="I217" s="330">
        <f t="shared" si="27"/>
        <v>0</v>
      </c>
      <c r="J217" s="330"/>
    </row>
    <row r="218" spans="1:10" s="178" customFormat="1" ht="13.8" x14ac:dyDescent="0.25">
      <c r="A218" s="172"/>
      <c r="B218" s="172"/>
      <c r="C218" s="130"/>
      <c r="D218" s="173"/>
      <c r="E218" s="131"/>
      <c r="F218" s="293"/>
      <c r="G218" s="293"/>
      <c r="H218" s="293"/>
      <c r="I218" s="252"/>
      <c r="J218" s="252"/>
    </row>
    <row r="219" spans="1:10" ht="13.8" x14ac:dyDescent="0.25">
      <c r="A219" s="128"/>
      <c r="B219" s="1"/>
      <c r="C219" s="207"/>
      <c r="D219" s="202" t="s">
        <v>214</v>
      </c>
      <c r="E219" s="116"/>
      <c r="F219" s="285"/>
      <c r="G219" s="285"/>
      <c r="H219" s="285"/>
      <c r="I219" s="876">
        <v>0</v>
      </c>
      <c r="J219" s="876">
        <v>0</v>
      </c>
    </row>
    <row r="220" spans="1:10" ht="13.8" x14ac:dyDescent="0.25">
      <c r="A220" s="128"/>
      <c r="B220" s="1"/>
      <c r="C220" s="207"/>
      <c r="D220" s="238" t="s">
        <v>217</v>
      </c>
      <c r="E220" s="118"/>
      <c r="F220" s="286"/>
      <c r="G220" s="286"/>
      <c r="H220" s="286"/>
      <c r="I220" s="877"/>
      <c r="J220" s="877"/>
    </row>
    <row r="221" spans="1:10" s="1" customFormat="1" ht="13.8" x14ac:dyDescent="0.25">
      <c r="A221" s="124"/>
      <c r="C221" s="207"/>
      <c r="D221" s="272" t="s">
        <v>316</v>
      </c>
      <c r="E221" s="197">
        <f t="shared" ref="E221:H223" si="28">SUM(E222)</f>
        <v>0</v>
      </c>
      <c r="F221" s="280">
        <f t="shared" si="28"/>
        <v>15000</v>
      </c>
      <c r="G221" s="280">
        <f t="shared" si="28"/>
        <v>20000</v>
      </c>
      <c r="H221" s="280">
        <f t="shared" si="28"/>
        <v>20000</v>
      </c>
      <c r="I221" s="878"/>
      <c r="J221" s="878"/>
    </row>
    <row r="222" spans="1:10" s="183" customFormat="1" ht="13.8" x14ac:dyDescent="0.25">
      <c r="A222" s="165" t="s">
        <v>306</v>
      </c>
      <c r="B222" s="163"/>
      <c r="C222" s="122">
        <v>38</v>
      </c>
      <c r="D222" s="164" t="s">
        <v>128</v>
      </c>
      <c r="E222" s="123">
        <f t="shared" si="28"/>
        <v>0</v>
      </c>
      <c r="F222" s="288">
        <f t="shared" si="28"/>
        <v>15000</v>
      </c>
      <c r="G222" s="288">
        <v>20000</v>
      </c>
      <c r="H222" s="288">
        <v>20000</v>
      </c>
      <c r="I222" s="330">
        <f t="shared" ref="I222:J224" si="29">AVERAGE(G222/F222*100)</f>
        <v>133.33333333333331</v>
      </c>
      <c r="J222" s="330">
        <f t="shared" si="29"/>
        <v>100</v>
      </c>
    </row>
    <row r="223" spans="1:10" s="183" customFormat="1" ht="13.8" x14ac:dyDescent="0.25">
      <c r="A223" s="165" t="s">
        <v>306</v>
      </c>
      <c r="B223" s="163"/>
      <c r="C223" s="122">
        <v>381</v>
      </c>
      <c r="D223" s="164" t="s">
        <v>37</v>
      </c>
      <c r="E223" s="123">
        <f t="shared" si="28"/>
        <v>0</v>
      </c>
      <c r="F223" s="288">
        <f t="shared" si="28"/>
        <v>15000</v>
      </c>
      <c r="G223" s="288"/>
      <c r="H223" s="288"/>
      <c r="I223" s="330">
        <f t="shared" si="29"/>
        <v>0</v>
      </c>
      <c r="J223" s="330"/>
    </row>
    <row r="224" spans="1:10" s="178" customFormat="1" ht="13.8" hidden="1" x14ac:dyDescent="0.25">
      <c r="A224" s="165" t="s">
        <v>306</v>
      </c>
      <c r="B224" s="165">
        <v>59</v>
      </c>
      <c r="C224" s="126">
        <v>3811</v>
      </c>
      <c r="D224" s="166" t="s">
        <v>279</v>
      </c>
      <c r="E224" s="127">
        <v>0</v>
      </c>
      <c r="F224" s="291">
        <v>15000</v>
      </c>
      <c r="G224" s="291"/>
      <c r="H224" s="291"/>
      <c r="I224" s="330">
        <f t="shared" si="29"/>
        <v>0</v>
      </c>
      <c r="J224" s="330"/>
    </row>
    <row r="225" spans="1:10" s="178" customFormat="1" ht="13.8" x14ac:dyDescent="0.25">
      <c r="A225" s="172"/>
      <c r="B225" s="172"/>
      <c r="C225" s="130"/>
      <c r="D225" s="173"/>
      <c r="E225" s="131"/>
      <c r="F225" s="293"/>
      <c r="G225" s="293"/>
      <c r="H225" s="293"/>
      <c r="I225" s="252"/>
      <c r="J225" s="252"/>
    </row>
    <row r="226" spans="1:10" ht="13.8" x14ac:dyDescent="0.25">
      <c r="A226" s="128"/>
      <c r="B226" s="1"/>
      <c r="C226" s="207"/>
      <c r="D226" s="202" t="s">
        <v>214</v>
      </c>
      <c r="E226" s="116"/>
      <c r="F226" s="285"/>
      <c r="G226" s="285"/>
      <c r="H226" s="285"/>
      <c r="I226" s="249"/>
      <c r="J226" s="249"/>
    </row>
    <row r="227" spans="1:10" ht="13.8" x14ac:dyDescent="0.25">
      <c r="A227" s="128"/>
      <c r="B227" s="1"/>
      <c r="C227" s="207"/>
      <c r="D227" s="238" t="s">
        <v>197</v>
      </c>
      <c r="E227" s="118"/>
      <c r="F227" s="286"/>
      <c r="G227" s="286"/>
      <c r="H227" s="286"/>
      <c r="I227" s="250"/>
      <c r="J227" s="250"/>
    </row>
    <row r="228" spans="1:10" s="1" customFormat="1" ht="13.8" x14ac:dyDescent="0.25">
      <c r="A228" s="124"/>
      <c r="C228" s="207"/>
      <c r="D228" s="273" t="s">
        <v>317</v>
      </c>
      <c r="E228" s="197">
        <f>SUM(E229+E232)</f>
        <v>0</v>
      </c>
      <c r="F228" s="280">
        <f>SUM(F229+F232)</f>
        <v>15000</v>
      </c>
      <c r="G228" s="280">
        <f>SUM(G229+G232)</f>
        <v>25000</v>
      </c>
      <c r="H228" s="280">
        <f>SUM(H229+H232)</f>
        <v>15000</v>
      </c>
      <c r="I228" s="332">
        <f>AVERAGE(G228/F228*100)</f>
        <v>166.66666666666669</v>
      </c>
      <c r="J228" s="332">
        <f>AVERAGE(H228/G228*100)</f>
        <v>60</v>
      </c>
    </row>
    <row r="229" spans="1:10" s="183" customFormat="1" ht="13.8" x14ac:dyDescent="0.25">
      <c r="A229" s="165" t="s">
        <v>307</v>
      </c>
      <c r="B229" s="163"/>
      <c r="C229" s="163">
        <v>32</v>
      </c>
      <c r="D229" s="164" t="s">
        <v>180</v>
      </c>
      <c r="E229" s="123">
        <f>SUM(E230)</f>
        <v>0</v>
      </c>
      <c r="F229" s="288">
        <f>SUM(F230)</f>
        <v>5000</v>
      </c>
      <c r="G229" s="288">
        <v>5000</v>
      </c>
      <c r="H229" s="288">
        <v>5000</v>
      </c>
      <c r="I229" s="330">
        <f t="shared" ref="I229:J234" si="30">AVERAGE(G229/F229*100)</f>
        <v>100</v>
      </c>
      <c r="J229" s="330">
        <f t="shared" si="30"/>
        <v>100</v>
      </c>
    </row>
    <row r="230" spans="1:10" s="183" customFormat="1" ht="13.8" x14ac:dyDescent="0.25">
      <c r="A230" s="165" t="s">
        <v>307</v>
      </c>
      <c r="B230" s="163"/>
      <c r="C230" s="163">
        <v>322</v>
      </c>
      <c r="D230" s="164" t="s">
        <v>52</v>
      </c>
      <c r="E230" s="123">
        <f>SUM(E231)</f>
        <v>0</v>
      </c>
      <c r="F230" s="288">
        <f>SUM(F231)</f>
        <v>5000</v>
      </c>
      <c r="G230" s="288"/>
      <c r="H230" s="288"/>
      <c r="I230" s="330">
        <f t="shared" si="30"/>
        <v>0</v>
      </c>
      <c r="J230" s="330"/>
    </row>
    <row r="231" spans="1:10" s="178" customFormat="1" ht="13.8" hidden="1" x14ac:dyDescent="0.25">
      <c r="A231" s="165" t="s">
        <v>307</v>
      </c>
      <c r="B231" s="165">
        <v>60</v>
      </c>
      <c r="C231" s="165">
        <v>3227</v>
      </c>
      <c r="D231" s="166" t="s">
        <v>219</v>
      </c>
      <c r="E231" s="127">
        <v>0</v>
      </c>
      <c r="F231" s="291">
        <v>5000</v>
      </c>
      <c r="G231" s="291"/>
      <c r="H231" s="291"/>
      <c r="I231" s="330">
        <f t="shared" si="30"/>
        <v>0</v>
      </c>
      <c r="J231" s="330"/>
    </row>
    <row r="232" spans="1:10" s="183" customFormat="1" ht="13.8" x14ac:dyDescent="0.25">
      <c r="A232" s="165" t="s">
        <v>307</v>
      </c>
      <c r="B232" s="163"/>
      <c r="C232" s="163">
        <v>42</v>
      </c>
      <c r="D232" s="164" t="s">
        <v>278</v>
      </c>
      <c r="E232" s="123">
        <f>SUM(E233)</f>
        <v>0</v>
      </c>
      <c r="F232" s="288">
        <f>SUM(F233)</f>
        <v>10000</v>
      </c>
      <c r="G232" s="288">
        <v>20000</v>
      </c>
      <c r="H232" s="288">
        <v>10000</v>
      </c>
      <c r="I232" s="330">
        <f t="shared" si="30"/>
        <v>200</v>
      </c>
      <c r="J232" s="330">
        <f t="shared" si="30"/>
        <v>50</v>
      </c>
    </row>
    <row r="233" spans="1:10" s="183" customFormat="1" ht="13.8" x14ac:dyDescent="0.25">
      <c r="A233" s="165" t="s">
        <v>307</v>
      </c>
      <c r="B233" s="163"/>
      <c r="C233" s="163">
        <v>422</v>
      </c>
      <c r="D233" s="164" t="s">
        <v>99</v>
      </c>
      <c r="E233" s="123">
        <f>SUM(E234)</f>
        <v>0</v>
      </c>
      <c r="F233" s="288">
        <f>SUM(F234)</f>
        <v>10000</v>
      </c>
      <c r="G233" s="288"/>
      <c r="H233" s="288"/>
      <c r="I233" s="330">
        <f t="shared" si="30"/>
        <v>0</v>
      </c>
      <c r="J233" s="330"/>
    </row>
    <row r="234" spans="1:10" s="178" customFormat="1" ht="13.8" hidden="1" x14ac:dyDescent="0.25">
      <c r="A234" s="165" t="s">
        <v>307</v>
      </c>
      <c r="B234" s="165">
        <v>61</v>
      </c>
      <c r="C234" s="165">
        <v>4223</v>
      </c>
      <c r="D234" s="166" t="s">
        <v>112</v>
      </c>
      <c r="E234" s="127">
        <v>0</v>
      </c>
      <c r="F234" s="291">
        <v>10000</v>
      </c>
      <c r="G234" s="291"/>
      <c r="H234" s="291"/>
      <c r="I234" s="330">
        <f t="shared" si="30"/>
        <v>0</v>
      </c>
      <c r="J234" s="330"/>
    </row>
    <row r="235" spans="1:10" s="190" customFormat="1" x14ac:dyDescent="0.25">
      <c r="A235" s="186"/>
      <c r="B235" s="105"/>
      <c r="C235" s="186"/>
      <c r="D235" s="105"/>
      <c r="E235" s="186"/>
      <c r="F235" s="304"/>
      <c r="G235" s="304"/>
      <c r="H235" s="304"/>
      <c r="I235" s="255"/>
      <c r="J235" s="255"/>
    </row>
    <row r="236" spans="1:10" ht="13.8" x14ac:dyDescent="0.25">
      <c r="A236" s="128"/>
      <c r="B236" s="1"/>
      <c r="C236" s="207"/>
      <c r="D236" s="202" t="s">
        <v>214</v>
      </c>
      <c r="E236" s="116"/>
      <c r="F236" s="285"/>
      <c r="G236" s="285"/>
      <c r="H236" s="285"/>
      <c r="I236" s="257"/>
      <c r="J236" s="257"/>
    </row>
    <row r="237" spans="1:10" s="136" customFormat="1" ht="13.8" x14ac:dyDescent="0.25">
      <c r="C237" s="208"/>
      <c r="D237" s="238" t="s">
        <v>220</v>
      </c>
      <c r="E237" s="209"/>
      <c r="F237" s="312"/>
      <c r="G237" s="312"/>
      <c r="H237" s="312"/>
      <c r="I237" s="258"/>
      <c r="J237" s="258"/>
    </row>
    <row r="238" spans="1:10" ht="13.8" x14ac:dyDescent="0.25">
      <c r="A238" s="128"/>
      <c r="B238" s="1"/>
      <c r="C238" s="207"/>
      <c r="D238" s="882" t="s">
        <v>318</v>
      </c>
      <c r="E238" s="118"/>
      <c r="F238" s="286"/>
      <c r="G238" s="286"/>
      <c r="H238" s="286"/>
      <c r="I238" s="258"/>
      <c r="J238" s="258"/>
    </row>
    <row r="239" spans="1:10" s="1" customFormat="1" ht="13.8" x14ac:dyDescent="0.25">
      <c r="A239" s="124"/>
      <c r="C239" s="207"/>
      <c r="D239" s="883"/>
      <c r="E239" s="197">
        <f t="shared" ref="E239:H240" si="31">SUM(E240)</f>
        <v>0</v>
      </c>
      <c r="F239" s="280">
        <f t="shared" si="31"/>
        <v>5000</v>
      </c>
      <c r="G239" s="280">
        <f t="shared" si="31"/>
        <v>5000</v>
      </c>
      <c r="H239" s="280">
        <f t="shared" si="31"/>
        <v>5000</v>
      </c>
      <c r="I239" s="332">
        <f>AVERAGE(G239/F239*100)</f>
        <v>100</v>
      </c>
      <c r="J239" s="332">
        <f>AVERAGE(H239/G239*100)</f>
        <v>100</v>
      </c>
    </row>
    <row r="240" spans="1:10" s="183" customFormat="1" ht="13.8" x14ac:dyDescent="0.25">
      <c r="A240" s="165" t="s">
        <v>308</v>
      </c>
      <c r="B240" s="163"/>
      <c r="C240" s="163">
        <v>32</v>
      </c>
      <c r="D240" s="164" t="s">
        <v>180</v>
      </c>
      <c r="E240" s="123">
        <f t="shared" si="31"/>
        <v>0</v>
      </c>
      <c r="F240" s="288">
        <f t="shared" si="31"/>
        <v>5000</v>
      </c>
      <c r="G240" s="288">
        <v>5000</v>
      </c>
      <c r="H240" s="288">
        <v>5000</v>
      </c>
      <c r="I240" s="330">
        <f t="shared" ref="I240:J242" si="32">AVERAGE(G240/F240*100)</f>
        <v>100</v>
      </c>
      <c r="J240" s="330">
        <f t="shared" si="32"/>
        <v>100</v>
      </c>
    </row>
    <row r="241" spans="1:10" s="183" customFormat="1" ht="13.8" x14ac:dyDescent="0.25">
      <c r="A241" s="165" t="s">
        <v>308</v>
      </c>
      <c r="B241" s="163"/>
      <c r="C241" s="163">
        <v>323</v>
      </c>
      <c r="D241" s="164" t="s">
        <v>117</v>
      </c>
      <c r="E241" s="123">
        <f>SUM(E242:E242)</f>
        <v>0</v>
      </c>
      <c r="F241" s="288">
        <f>SUM(F242)</f>
        <v>5000</v>
      </c>
      <c r="G241" s="288"/>
      <c r="H241" s="288"/>
      <c r="I241" s="330">
        <f t="shared" si="32"/>
        <v>0</v>
      </c>
      <c r="J241" s="330"/>
    </row>
    <row r="242" spans="1:10" s="178" customFormat="1" ht="13.8" hidden="1" x14ac:dyDescent="0.25">
      <c r="A242" s="165" t="s">
        <v>308</v>
      </c>
      <c r="B242" s="165">
        <v>62</v>
      </c>
      <c r="C242" s="165">
        <v>3237</v>
      </c>
      <c r="D242" s="166" t="s">
        <v>221</v>
      </c>
      <c r="E242" s="127">
        <v>0</v>
      </c>
      <c r="F242" s="291">
        <v>5000</v>
      </c>
      <c r="G242" s="291"/>
      <c r="H242" s="291"/>
      <c r="I242" s="330">
        <f t="shared" si="32"/>
        <v>0</v>
      </c>
      <c r="J242" s="330"/>
    </row>
    <row r="243" spans="1:10" s="178" customFormat="1" ht="14.4" thickBot="1" x14ac:dyDescent="0.3">
      <c r="A243" s="172"/>
      <c r="B243" s="172"/>
      <c r="C243" s="172"/>
      <c r="D243" s="173"/>
      <c r="E243" s="131"/>
      <c r="F243" s="293"/>
      <c r="G243" s="293"/>
      <c r="H243" s="293"/>
      <c r="I243" s="252"/>
      <c r="J243" s="252"/>
    </row>
    <row r="244" spans="1:10" s="99" customFormat="1" ht="16.2" thickBot="1" x14ac:dyDescent="0.35">
      <c r="A244" s="885" t="s">
        <v>222</v>
      </c>
      <c r="B244" s="886"/>
      <c r="C244" s="886"/>
      <c r="D244" s="886"/>
      <c r="E244" s="111">
        <f>SUM(E248)</f>
        <v>10000</v>
      </c>
      <c r="F244" s="283">
        <f>SUM(F248)</f>
        <v>5000</v>
      </c>
      <c r="G244" s="283">
        <f>SUM(G248)</f>
        <v>5000</v>
      </c>
      <c r="H244" s="283">
        <f>SUM(H248)</f>
        <v>5000</v>
      </c>
      <c r="I244" s="248">
        <f>AVERAGE(G244/F244*100)</f>
        <v>100</v>
      </c>
      <c r="J244" s="248">
        <f>AVERAGE(H244/G244*100)</f>
        <v>100</v>
      </c>
    </row>
    <row r="245" spans="1:10" s="99" customFormat="1" ht="15.6" x14ac:dyDescent="0.3">
      <c r="A245" s="100"/>
      <c r="B245" s="100"/>
      <c r="C245" s="100"/>
      <c r="D245" s="100"/>
      <c r="E245" s="199"/>
      <c r="F245" s="309"/>
      <c r="G245" s="309"/>
      <c r="H245" s="309"/>
      <c r="I245" s="247"/>
      <c r="J245" s="247"/>
    </row>
    <row r="246" spans="1:10" ht="13.8" x14ac:dyDescent="0.25">
      <c r="B246" s="1"/>
      <c r="C246" s="207"/>
      <c r="D246" s="202" t="s">
        <v>223</v>
      </c>
      <c r="E246" s="116"/>
      <c r="F246" s="285"/>
      <c r="G246" s="285"/>
      <c r="H246" s="285"/>
      <c r="I246" s="257"/>
      <c r="J246" s="257"/>
    </row>
    <row r="247" spans="1:10" ht="14.25" customHeight="1" x14ac:dyDescent="0.25">
      <c r="B247" s="1"/>
      <c r="C247" s="207"/>
      <c r="D247" s="238" t="s">
        <v>217</v>
      </c>
      <c r="E247" s="118"/>
      <c r="F247" s="286"/>
      <c r="G247" s="286"/>
      <c r="H247" s="286"/>
      <c r="I247" s="258"/>
      <c r="J247" s="258"/>
    </row>
    <row r="248" spans="1:10" s="1" customFormat="1" ht="13.8" x14ac:dyDescent="0.25">
      <c r="C248" s="207"/>
      <c r="D248" s="272" t="s">
        <v>319</v>
      </c>
      <c r="E248" s="197">
        <f t="shared" ref="E248:H250" si="33">SUM(E249)</f>
        <v>10000</v>
      </c>
      <c r="F248" s="280">
        <f t="shared" si="33"/>
        <v>5000</v>
      </c>
      <c r="G248" s="280">
        <f t="shared" si="33"/>
        <v>5000</v>
      </c>
      <c r="H248" s="280">
        <f t="shared" si="33"/>
        <v>5000</v>
      </c>
      <c r="I248" s="332">
        <f>AVERAGE(G248/F248*100)</f>
        <v>100</v>
      </c>
      <c r="J248" s="332">
        <f>AVERAGE(H248/G248*100)</f>
        <v>100</v>
      </c>
    </row>
    <row r="249" spans="1:10" s="183" customFormat="1" ht="13.8" x14ac:dyDescent="0.25">
      <c r="A249" s="125" t="s">
        <v>293</v>
      </c>
      <c r="B249" s="163"/>
      <c r="C249" s="122">
        <v>36</v>
      </c>
      <c r="D249" s="164" t="s">
        <v>218</v>
      </c>
      <c r="E249" s="123">
        <f t="shared" si="33"/>
        <v>10000</v>
      </c>
      <c r="F249" s="288">
        <f t="shared" si="33"/>
        <v>5000</v>
      </c>
      <c r="G249" s="288">
        <v>5000</v>
      </c>
      <c r="H249" s="288">
        <v>5000</v>
      </c>
      <c r="I249" s="330">
        <f t="shared" ref="I249:J251" si="34">AVERAGE(G249/F249*100)</f>
        <v>100</v>
      </c>
      <c r="J249" s="330">
        <f t="shared" si="34"/>
        <v>100</v>
      </c>
    </row>
    <row r="250" spans="1:10" s="183" customFormat="1" ht="13.8" x14ac:dyDescent="0.25">
      <c r="A250" s="125" t="s">
        <v>293</v>
      </c>
      <c r="B250" s="163"/>
      <c r="C250" s="122">
        <v>363</v>
      </c>
      <c r="D250" s="164" t="s">
        <v>139</v>
      </c>
      <c r="E250" s="123">
        <f t="shared" si="33"/>
        <v>10000</v>
      </c>
      <c r="F250" s="288">
        <f t="shared" si="33"/>
        <v>5000</v>
      </c>
      <c r="G250" s="288"/>
      <c r="H250" s="288"/>
      <c r="I250" s="330">
        <f t="shared" si="34"/>
        <v>0</v>
      </c>
      <c r="J250" s="330"/>
    </row>
    <row r="251" spans="1:10" s="178" customFormat="1" ht="13.8" hidden="1" x14ac:dyDescent="0.25">
      <c r="A251" s="125" t="s">
        <v>293</v>
      </c>
      <c r="B251" s="165">
        <v>63</v>
      </c>
      <c r="C251" s="126">
        <v>3632</v>
      </c>
      <c r="D251" s="166" t="s">
        <v>224</v>
      </c>
      <c r="E251" s="127">
        <v>10000</v>
      </c>
      <c r="F251" s="291">
        <v>5000</v>
      </c>
      <c r="G251" s="291"/>
      <c r="H251" s="291"/>
      <c r="I251" s="330">
        <f t="shared" si="34"/>
        <v>0</v>
      </c>
      <c r="J251" s="330"/>
    </row>
    <row r="252" spans="1:10" s="178" customFormat="1" ht="14.4" thickBot="1" x14ac:dyDescent="0.3">
      <c r="A252" s="172"/>
      <c r="B252" s="172"/>
      <c r="C252" s="130"/>
      <c r="D252" s="173"/>
      <c r="E252" s="131"/>
      <c r="F252" s="293"/>
      <c r="G252" s="293"/>
      <c r="H252" s="293"/>
      <c r="I252" s="252"/>
      <c r="J252" s="252"/>
    </row>
    <row r="253" spans="1:10" s="210" customFormat="1" ht="17.399999999999999" thickBot="1" x14ac:dyDescent="0.35">
      <c r="A253" s="898" t="s">
        <v>281</v>
      </c>
      <c r="B253" s="899"/>
      <c r="C253" s="899"/>
      <c r="D253" s="899"/>
      <c r="E253" s="198">
        <f>SUM(E255+E267+E302+E313)</f>
        <v>381000</v>
      </c>
      <c r="F253" s="308">
        <f>SUM(F255+F267+F302+F313)</f>
        <v>480000</v>
      </c>
      <c r="G253" s="308">
        <f>SUM(G255+G267+G302+G313)</f>
        <v>380000</v>
      </c>
      <c r="H253" s="308">
        <f>SUM(H255+H267+H302+H313)</f>
        <v>375000</v>
      </c>
      <c r="I253" s="246">
        <f>AVERAGE(G253/F253*100)</f>
        <v>79.166666666666657</v>
      </c>
      <c r="J253" s="246">
        <f>AVERAGE(H253/G253*100)</f>
        <v>98.68421052631578</v>
      </c>
    </row>
    <row r="254" spans="1:10" ht="14.4" thickBot="1" x14ac:dyDescent="0.3">
      <c r="A254" s="128"/>
      <c r="B254" s="105"/>
      <c r="C254" s="186"/>
      <c r="D254" s="211"/>
      <c r="E254" s="195"/>
      <c r="F254" s="306"/>
      <c r="G254" s="306"/>
      <c r="H254" s="306"/>
      <c r="I254" s="247"/>
      <c r="J254" s="247"/>
    </row>
    <row r="255" spans="1:10" s="99" customFormat="1" ht="16.2" thickBot="1" x14ac:dyDescent="0.35">
      <c r="A255" s="885" t="s">
        <v>225</v>
      </c>
      <c r="B255" s="886"/>
      <c r="C255" s="886"/>
      <c r="D255" s="886"/>
      <c r="E255" s="111">
        <f>SUM(E259)</f>
        <v>115000</v>
      </c>
      <c r="F255" s="283">
        <f>SUM(F259)</f>
        <v>110000</v>
      </c>
      <c r="G255" s="283">
        <f>SUM(G259)</f>
        <v>120000</v>
      </c>
      <c r="H255" s="283">
        <f>SUM(H259)</f>
        <v>120000</v>
      </c>
      <c r="I255" s="248">
        <f>AVERAGE(G255/F255*100)</f>
        <v>109.09090909090908</v>
      </c>
      <c r="J255" s="248">
        <f>AVERAGE(H255/G255*100)</f>
        <v>100</v>
      </c>
    </row>
    <row r="256" spans="1:10" ht="13.8" x14ac:dyDescent="0.25">
      <c r="A256" s="128"/>
      <c r="B256" s="1"/>
      <c r="C256" s="207"/>
      <c r="D256" s="212"/>
      <c r="E256" s="195"/>
      <c r="F256" s="306"/>
      <c r="G256" s="306"/>
      <c r="H256" s="306"/>
      <c r="I256" s="247"/>
      <c r="J256" s="247"/>
    </row>
    <row r="257" spans="1:10" s="1" customFormat="1" ht="13.8" x14ac:dyDescent="0.25">
      <c r="A257" s="124"/>
      <c r="C257" s="207"/>
      <c r="D257" s="213" t="s">
        <v>234</v>
      </c>
      <c r="E257" s="116"/>
      <c r="F257" s="285"/>
      <c r="G257" s="285"/>
      <c r="H257" s="285"/>
      <c r="I257" s="260"/>
      <c r="J257" s="260"/>
    </row>
    <row r="258" spans="1:10" s="1" customFormat="1" ht="13.8" x14ac:dyDescent="0.25">
      <c r="A258" s="124"/>
      <c r="C258" s="207"/>
      <c r="D258" s="238" t="s">
        <v>209</v>
      </c>
      <c r="E258" s="118"/>
      <c r="F258" s="313"/>
      <c r="G258" s="286"/>
      <c r="H258" s="286"/>
      <c r="I258" s="261"/>
      <c r="J258" s="261"/>
    </row>
    <row r="259" spans="1:10" s="1" customFormat="1" ht="13.8" x14ac:dyDescent="0.25">
      <c r="A259" s="124"/>
      <c r="C259" s="207"/>
      <c r="D259" s="273" t="s">
        <v>320</v>
      </c>
      <c r="E259" s="197">
        <f>SUM(E260)</f>
        <v>115000</v>
      </c>
      <c r="F259" s="280">
        <f>SUM(F260)</f>
        <v>110000</v>
      </c>
      <c r="G259" s="280">
        <f>SUM(G260)</f>
        <v>120000</v>
      </c>
      <c r="H259" s="280">
        <f>SUM(H260)</f>
        <v>120000</v>
      </c>
      <c r="I259" s="332">
        <f>AVERAGE(G259/F259*100)</f>
        <v>109.09090909090908</v>
      </c>
      <c r="J259" s="332">
        <f>AVERAGE(H259/G259*100)</f>
        <v>100</v>
      </c>
    </row>
    <row r="260" spans="1:10" s="150" customFormat="1" ht="13.8" x14ac:dyDescent="0.25">
      <c r="A260" s="151" t="s">
        <v>292</v>
      </c>
      <c r="B260" s="121"/>
      <c r="C260" s="163">
        <v>38</v>
      </c>
      <c r="D260" s="164" t="s">
        <v>80</v>
      </c>
      <c r="E260" s="123">
        <f>SUM(E261+E264)</f>
        <v>115000</v>
      </c>
      <c r="F260" s="288">
        <f>SUM(F261+F264)</f>
        <v>110000</v>
      </c>
      <c r="G260" s="288">
        <v>120000</v>
      </c>
      <c r="H260" s="288">
        <v>120000</v>
      </c>
      <c r="I260" s="330">
        <f t="shared" ref="I260:J265" si="35">AVERAGE(G260/F260*100)</f>
        <v>109.09090909090908</v>
      </c>
      <c r="J260" s="330">
        <f t="shared" si="35"/>
        <v>100</v>
      </c>
    </row>
    <row r="261" spans="1:10" s="132" customFormat="1" ht="13.8" x14ac:dyDescent="0.25">
      <c r="A261" s="151" t="s">
        <v>292</v>
      </c>
      <c r="B261" s="121"/>
      <c r="C261" s="163">
        <v>381</v>
      </c>
      <c r="D261" s="164" t="s">
        <v>37</v>
      </c>
      <c r="E261" s="123">
        <f>SUM(E262:E263)</f>
        <v>105000</v>
      </c>
      <c r="F261" s="288">
        <f>SUM(F262:F263)</f>
        <v>105000</v>
      </c>
      <c r="G261" s="288"/>
      <c r="H261" s="288"/>
      <c r="I261" s="330">
        <f t="shared" si="35"/>
        <v>0</v>
      </c>
      <c r="J261" s="330"/>
    </row>
    <row r="262" spans="1:10" s="132" customFormat="1" ht="13.8" hidden="1" x14ac:dyDescent="0.25">
      <c r="A262" s="151" t="s">
        <v>292</v>
      </c>
      <c r="B262" s="125">
        <v>64</v>
      </c>
      <c r="C262" s="165">
        <v>38115</v>
      </c>
      <c r="D262" s="166" t="s">
        <v>84</v>
      </c>
      <c r="E262" s="127">
        <v>100000</v>
      </c>
      <c r="F262" s="291">
        <v>100000</v>
      </c>
      <c r="G262" s="291"/>
      <c r="H262" s="291"/>
      <c r="I262" s="330">
        <f t="shared" si="35"/>
        <v>0</v>
      </c>
      <c r="J262" s="330"/>
    </row>
    <row r="263" spans="1:10" s="132" customFormat="1" ht="13.8" hidden="1" x14ac:dyDescent="0.25">
      <c r="A263" s="151" t="s">
        <v>292</v>
      </c>
      <c r="B263" s="125">
        <v>65</v>
      </c>
      <c r="C263" s="165">
        <v>3812</v>
      </c>
      <c r="D263" s="166" t="s">
        <v>86</v>
      </c>
      <c r="E263" s="127">
        <v>5000</v>
      </c>
      <c r="F263" s="291">
        <v>5000</v>
      </c>
      <c r="G263" s="291"/>
      <c r="H263" s="291"/>
      <c r="I263" s="330">
        <f t="shared" si="35"/>
        <v>0</v>
      </c>
      <c r="J263" s="330"/>
    </row>
    <row r="264" spans="1:10" s="132" customFormat="1" ht="13.8" x14ac:dyDescent="0.25">
      <c r="A264" s="151" t="s">
        <v>292</v>
      </c>
      <c r="B264" s="121"/>
      <c r="C264" s="163">
        <v>382</v>
      </c>
      <c r="D264" s="164" t="s">
        <v>38</v>
      </c>
      <c r="E264" s="123">
        <f>SUM(E265)</f>
        <v>10000</v>
      </c>
      <c r="F264" s="288">
        <f>SUM(F265)</f>
        <v>5000</v>
      </c>
      <c r="G264" s="288"/>
      <c r="H264" s="288"/>
      <c r="I264" s="330">
        <f t="shared" si="35"/>
        <v>0</v>
      </c>
      <c r="J264" s="330"/>
    </row>
    <row r="265" spans="1:10" s="132" customFormat="1" ht="13.8" hidden="1" x14ac:dyDescent="0.25">
      <c r="A265" s="151" t="s">
        <v>292</v>
      </c>
      <c r="B265" s="125">
        <v>66</v>
      </c>
      <c r="C265" s="165">
        <v>38215</v>
      </c>
      <c r="D265" s="166" t="s">
        <v>121</v>
      </c>
      <c r="E265" s="127">
        <v>10000</v>
      </c>
      <c r="F265" s="291">
        <v>5000</v>
      </c>
      <c r="G265" s="291"/>
      <c r="H265" s="291"/>
      <c r="I265" s="330">
        <f t="shared" si="35"/>
        <v>0</v>
      </c>
      <c r="J265" s="330"/>
    </row>
    <row r="266" spans="1:10" s="132" customFormat="1" ht="14.4" thickBot="1" x14ac:dyDescent="0.3">
      <c r="A266" s="129"/>
      <c r="B266" s="129"/>
      <c r="C266" s="172"/>
      <c r="D266" s="173"/>
      <c r="E266" s="131"/>
      <c r="F266" s="293"/>
      <c r="G266" s="293"/>
      <c r="H266" s="293"/>
      <c r="I266" s="252"/>
      <c r="J266" s="252"/>
    </row>
    <row r="267" spans="1:10" s="99" customFormat="1" ht="16.2" thickBot="1" x14ac:dyDescent="0.35">
      <c r="A267" s="885" t="s">
        <v>226</v>
      </c>
      <c r="B267" s="886"/>
      <c r="C267" s="886"/>
      <c r="D267" s="886"/>
      <c r="E267" s="111">
        <f>SUM(E271+E283+E290)</f>
        <v>130000</v>
      </c>
      <c r="F267" s="283">
        <f>SUM(F271+F283+F290)</f>
        <v>188000</v>
      </c>
      <c r="G267" s="283">
        <f>SUM(G271+G283+G290)</f>
        <v>100000</v>
      </c>
      <c r="H267" s="283">
        <f>SUM(H271+H283+H290)</f>
        <v>105000</v>
      </c>
      <c r="I267" s="248">
        <f>AVERAGE(G267/F267*100)</f>
        <v>53.191489361702125</v>
      </c>
      <c r="J267" s="248">
        <f>AVERAGE(H267/G267*100)</f>
        <v>105</v>
      </c>
    </row>
    <row r="268" spans="1:10" s="99" customFormat="1" ht="15.6" x14ac:dyDescent="0.3">
      <c r="A268" s="100"/>
      <c r="B268" s="100"/>
      <c r="C268" s="100"/>
      <c r="D268" s="100"/>
      <c r="E268" s="199"/>
      <c r="F268" s="309"/>
      <c r="G268" s="309"/>
      <c r="H268" s="309"/>
      <c r="I268" s="247"/>
      <c r="J268" s="247"/>
    </row>
    <row r="269" spans="1:10" s="1" customFormat="1" ht="13.8" x14ac:dyDescent="0.25">
      <c r="A269" s="124"/>
      <c r="C269" s="207"/>
      <c r="D269" s="213" t="s">
        <v>227</v>
      </c>
      <c r="E269" s="116"/>
      <c r="F269" s="285"/>
      <c r="G269" s="285"/>
      <c r="H269" s="285"/>
      <c r="I269" s="249"/>
      <c r="J269" s="249"/>
    </row>
    <row r="270" spans="1:10" s="1" customFormat="1" ht="13.8" x14ac:dyDescent="0.25">
      <c r="A270" s="124"/>
      <c r="C270" s="207"/>
      <c r="D270" s="238" t="s">
        <v>209</v>
      </c>
      <c r="E270" s="118"/>
      <c r="F270" s="286"/>
      <c r="G270" s="286"/>
      <c r="H270" s="286"/>
      <c r="I270" s="250"/>
      <c r="J270" s="250"/>
    </row>
    <row r="271" spans="1:10" s="1" customFormat="1" ht="13.8" x14ac:dyDescent="0.25">
      <c r="A271" s="124"/>
      <c r="C271" s="207"/>
      <c r="D271" s="273" t="s">
        <v>321</v>
      </c>
      <c r="E271" s="197">
        <f>SUM(E272+E275)</f>
        <v>30000</v>
      </c>
      <c r="F271" s="280">
        <f>SUM(F272+F275)</f>
        <v>60000</v>
      </c>
      <c r="G271" s="280">
        <f>SUM(G272+G275)</f>
        <v>70000</v>
      </c>
      <c r="H271" s="280">
        <f>SUM(H272+H275)</f>
        <v>75000</v>
      </c>
      <c r="I271" s="332">
        <f>AVERAGE(G271/F271*100)</f>
        <v>116.66666666666667</v>
      </c>
      <c r="J271" s="332">
        <f>AVERAGE(H271/G271*100)</f>
        <v>107.14285714285714</v>
      </c>
    </row>
    <row r="272" spans="1:10" s="150" customFormat="1" ht="13.8" x14ac:dyDescent="0.25">
      <c r="A272" s="125" t="s">
        <v>293</v>
      </c>
      <c r="B272" s="121"/>
      <c r="C272" s="163">
        <v>32</v>
      </c>
      <c r="D272" s="121" t="s">
        <v>180</v>
      </c>
      <c r="E272" s="123">
        <f>SUM(E273)</f>
        <v>0</v>
      </c>
      <c r="F272" s="288">
        <f>SUM(F273)</f>
        <v>10000</v>
      </c>
      <c r="G272" s="288">
        <v>15000</v>
      </c>
      <c r="H272" s="288">
        <v>15000</v>
      </c>
      <c r="I272" s="330">
        <f t="shared" ref="I272:J279" si="36">AVERAGE(G272/F272*100)</f>
        <v>150</v>
      </c>
      <c r="J272" s="330">
        <f t="shared" si="36"/>
        <v>100</v>
      </c>
    </row>
    <row r="273" spans="1:10" s="132" customFormat="1" ht="13.8" x14ac:dyDescent="0.25">
      <c r="A273" s="125" t="s">
        <v>293</v>
      </c>
      <c r="B273" s="121"/>
      <c r="C273" s="163">
        <v>329</v>
      </c>
      <c r="D273" s="121" t="s">
        <v>65</v>
      </c>
      <c r="E273" s="123">
        <f>SUM(E274)</f>
        <v>0</v>
      </c>
      <c r="F273" s="288">
        <f>SUM(F274)</f>
        <v>10000</v>
      </c>
      <c r="G273" s="288"/>
      <c r="H273" s="288"/>
      <c r="I273" s="330">
        <f t="shared" si="36"/>
        <v>0</v>
      </c>
      <c r="J273" s="330"/>
    </row>
    <row r="274" spans="1:10" s="132" customFormat="1" ht="13.8" hidden="1" x14ac:dyDescent="0.25">
      <c r="A274" s="125" t="s">
        <v>293</v>
      </c>
      <c r="B274" s="125">
        <v>67</v>
      </c>
      <c r="C274" s="165">
        <v>3293</v>
      </c>
      <c r="D274" s="125" t="s">
        <v>68</v>
      </c>
      <c r="E274" s="127">
        <v>0</v>
      </c>
      <c r="F274" s="291">
        <v>10000</v>
      </c>
      <c r="G274" s="291"/>
      <c r="H274" s="291"/>
      <c r="I274" s="330">
        <f t="shared" si="36"/>
        <v>0</v>
      </c>
      <c r="J274" s="330"/>
    </row>
    <row r="275" spans="1:10" s="150" customFormat="1" ht="13.8" x14ac:dyDescent="0.25">
      <c r="A275" s="125" t="s">
        <v>293</v>
      </c>
      <c r="B275" s="121"/>
      <c r="C275" s="163">
        <v>38</v>
      </c>
      <c r="D275" s="164" t="s">
        <v>80</v>
      </c>
      <c r="E275" s="123">
        <f>SUM(E276+E278)</f>
        <v>30000</v>
      </c>
      <c r="F275" s="288">
        <f>SUM(F276+F278)</f>
        <v>50000</v>
      </c>
      <c r="G275" s="288">
        <v>55000</v>
      </c>
      <c r="H275" s="288">
        <v>60000</v>
      </c>
      <c r="I275" s="330">
        <f t="shared" si="36"/>
        <v>110.00000000000001</v>
      </c>
      <c r="J275" s="330">
        <f t="shared" si="36"/>
        <v>109.09090909090908</v>
      </c>
    </row>
    <row r="276" spans="1:10" s="132" customFormat="1" ht="13.8" x14ac:dyDescent="0.25">
      <c r="A276" s="125" t="s">
        <v>293</v>
      </c>
      <c r="B276" s="121"/>
      <c r="C276" s="163">
        <v>381</v>
      </c>
      <c r="D276" s="164" t="s">
        <v>37</v>
      </c>
      <c r="E276" s="123">
        <f>SUM(E277:E277)</f>
        <v>0</v>
      </c>
      <c r="F276" s="288">
        <f>SUM(F277)</f>
        <v>40000</v>
      </c>
      <c r="G276" s="288"/>
      <c r="H276" s="288"/>
      <c r="I276" s="330">
        <f t="shared" si="36"/>
        <v>0</v>
      </c>
      <c r="J276" s="330"/>
    </row>
    <row r="277" spans="1:10" s="132" customFormat="1" ht="13.8" hidden="1" x14ac:dyDescent="0.25">
      <c r="A277" s="125" t="s">
        <v>293</v>
      </c>
      <c r="B277" s="125">
        <v>68</v>
      </c>
      <c r="C277" s="165">
        <v>3811</v>
      </c>
      <c r="D277" s="166" t="s">
        <v>81</v>
      </c>
      <c r="E277" s="127">
        <v>0</v>
      </c>
      <c r="F277" s="291">
        <v>40000</v>
      </c>
      <c r="G277" s="291"/>
      <c r="H277" s="291"/>
      <c r="I277" s="330">
        <f t="shared" si="36"/>
        <v>0</v>
      </c>
      <c r="J277" s="330"/>
    </row>
    <row r="278" spans="1:10" s="132" customFormat="1" ht="13.8" x14ac:dyDescent="0.25">
      <c r="A278" s="125" t="s">
        <v>293</v>
      </c>
      <c r="B278" s="121"/>
      <c r="C278" s="163">
        <v>382</v>
      </c>
      <c r="D278" s="164" t="s">
        <v>38</v>
      </c>
      <c r="E278" s="123">
        <f>SUM(E279:E279)</f>
        <v>30000</v>
      </c>
      <c r="F278" s="288">
        <f>SUM(F279:F279)</f>
        <v>10000</v>
      </c>
      <c r="G278" s="288"/>
      <c r="H278" s="288"/>
      <c r="I278" s="251">
        <f t="shared" si="36"/>
        <v>0</v>
      </c>
      <c r="J278" s="251"/>
    </row>
    <row r="279" spans="1:10" s="132" customFormat="1" ht="13.8" hidden="1" x14ac:dyDescent="0.25">
      <c r="A279" s="125" t="s">
        <v>293</v>
      </c>
      <c r="B279" s="125">
        <v>69</v>
      </c>
      <c r="C279" s="165">
        <v>38219</v>
      </c>
      <c r="D279" s="166" t="s">
        <v>229</v>
      </c>
      <c r="E279" s="127">
        <v>30000</v>
      </c>
      <c r="F279" s="291">
        <v>10000</v>
      </c>
      <c r="G279" s="291"/>
      <c r="H279" s="291"/>
      <c r="I279" s="251">
        <f t="shared" si="36"/>
        <v>0</v>
      </c>
      <c r="J279" s="251"/>
    </row>
    <row r="280" spans="1:10" s="132" customFormat="1" ht="13.8" x14ac:dyDescent="0.25">
      <c r="A280" s="129"/>
      <c r="B280" s="129"/>
      <c r="C280" s="172"/>
      <c r="D280" s="336"/>
      <c r="E280" s="337"/>
      <c r="F280" s="338"/>
      <c r="G280" s="338"/>
      <c r="H280" s="338"/>
      <c r="I280" s="339"/>
      <c r="J280" s="339"/>
    </row>
    <row r="281" spans="1:10" s="132" customFormat="1" ht="13.8" x14ac:dyDescent="0.25">
      <c r="A281" s="124"/>
      <c r="B281" s="124"/>
      <c r="C281" s="124"/>
      <c r="D281" s="213" t="s">
        <v>227</v>
      </c>
      <c r="E281" s="141"/>
      <c r="F281" s="286"/>
      <c r="G281" s="286"/>
      <c r="H281" s="286"/>
      <c r="I281" s="250"/>
      <c r="J281" s="250"/>
    </row>
    <row r="282" spans="1:10" s="132" customFormat="1" ht="13.8" x14ac:dyDescent="0.25">
      <c r="A282" s="124"/>
      <c r="B282" s="124"/>
      <c r="C282" s="124"/>
      <c r="D282" s="238" t="s">
        <v>209</v>
      </c>
      <c r="E282" s="141"/>
      <c r="F282" s="286"/>
      <c r="G282" s="286"/>
      <c r="H282" s="286"/>
      <c r="I282" s="250"/>
      <c r="J282" s="250"/>
    </row>
    <row r="283" spans="1:10" s="1" customFormat="1" ht="13.8" x14ac:dyDescent="0.25">
      <c r="A283" s="176"/>
      <c r="B283" s="176"/>
      <c r="C283" s="176"/>
      <c r="D283" s="272" t="s">
        <v>322</v>
      </c>
      <c r="E283" s="177">
        <f t="shared" ref="E283:H285" si="37">SUM(E284)</f>
        <v>100000</v>
      </c>
      <c r="F283" s="287">
        <f t="shared" si="37"/>
        <v>100000</v>
      </c>
      <c r="G283" s="287">
        <f t="shared" si="37"/>
        <v>0</v>
      </c>
      <c r="H283" s="287">
        <f t="shared" si="37"/>
        <v>0</v>
      </c>
      <c r="I283" s="332">
        <f>AVERAGE(G283/F283*100)</f>
        <v>0</v>
      </c>
      <c r="J283" s="332">
        <v>0</v>
      </c>
    </row>
    <row r="284" spans="1:10" s="1" customFormat="1" x14ac:dyDescent="0.25">
      <c r="A284" s="125" t="s">
        <v>311</v>
      </c>
      <c r="B284" s="121"/>
      <c r="C284" s="163">
        <v>42</v>
      </c>
      <c r="D284" s="164" t="s">
        <v>96</v>
      </c>
      <c r="E284" s="123">
        <f t="shared" si="37"/>
        <v>100000</v>
      </c>
      <c r="F284" s="288">
        <f t="shared" si="37"/>
        <v>100000</v>
      </c>
      <c r="G284" s="288">
        <f t="shared" si="37"/>
        <v>0</v>
      </c>
      <c r="H284" s="288">
        <f t="shared" si="37"/>
        <v>0</v>
      </c>
      <c r="I284" s="330">
        <f>AVERAGE(G284/F284*100)</f>
        <v>0</v>
      </c>
      <c r="J284" s="330"/>
    </row>
    <row r="285" spans="1:10" s="1" customFormat="1" x14ac:dyDescent="0.25">
      <c r="A285" s="125" t="s">
        <v>311</v>
      </c>
      <c r="B285" s="121"/>
      <c r="C285" s="163">
        <v>426</v>
      </c>
      <c r="D285" s="164" t="s">
        <v>117</v>
      </c>
      <c r="E285" s="123">
        <f t="shared" si="37"/>
        <v>100000</v>
      </c>
      <c r="F285" s="288">
        <f t="shared" si="37"/>
        <v>100000</v>
      </c>
      <c r="G285" s="288"/>
      <c r="H285" s="288"/>
      <c r="I285" s="330">
        <f>AVERAGE(G285/F285*100)</f>
        <v>0</v>
      </c>
      <c r="J285" s="330"/>
    </row>
    <row r="286" spans="1:10" s="1" customFormat="1" ht="15" hidden="1" customHeight="1" x14ac:dyDescent="0.25">
      <c r="A286" s="125" t="s">
        <v>311</v>
      </c>
      <c r="B286" s="125">
        <v>70</v>
      </c>
      <c r="C286" s="165">
        <v>4263</v>
      </c>
      <c r="D286" s="166" t="s">
        <v>264</v>
      </c>
      <c r="E286" s="127">
        <v>100000</v>
      </c>
      <c r="F286" s="291">
        <v>100000</v>
      </c>
      <c r="G286" s="291"/>
      <c r="H286" s="291"/>
      <c r="I286" s="330">
        <f>AVERAGE(G286/F286*100)</f>
        <v>0</v>
      </c>
      <c r="J286" s="330"/>
    </row>
    <row r="287" spans="1:10" s="132" customFormat="1" ht="13.8" x14ac:dyDescent="0.25">
      <c r="A287" s="129"/>
      <c r="B287" s="129"/>
      <c r="C287" s="172"/>
      <c r="D287" s="173"/>
      <c r="E287" s="131"/>
      <c r="F287" s="293"/>
      <c r="G287" s="293"/>
      <c r="H287" s="293"/>
      <c r="I287" s="252"/>
      <c r="J287" s="252"/>
    </row>
    <row r="288" spans="1:10" s="1" customFormat="1" ht="13.8" x14ac:dyDescent="0.25">
      <c r="A288" s="124"/>
      <c r="C288" s="207"/>
      <c r="D288" s="213" t="s">
        <v>227</v>
      </c>
      <c r="E288" s="116"/>
      <c r="F288" s="285"/>
      <c r="G288" s="285"/>
      <c r="H288" s="285"/>
      <c r="I288" s="249"/>
      <c r="J288" s="249"/>
    </row>
    <row r="289" spans="1:10" s="1" customFormat="1" ht="13.8" x14ac:dyDescent="0.25">
      <c r="A289" s="124"/>
      <c r="C289" s="207"/>
      <c r="D289" s="238" t="s">
        <v>230</v>
      </c>
      <c r="E289" s="118"/>
      <c r="F289" s="286"/>
      <c r="G289" s="286"/>
      <c r="H289" s="286"/>
      <c r="I289" s="250"/>
      <c r="J289" s="250"/>
    </row>
    <row r="290" spans="1:10" s="1" customFormat="1" ht="13.8" x14ac:dyDescent="0.25">
      <c r="A290" s="124"/>
      <c r="C290" s="207"/>
      <c r="D290" s="272" t="s">
        <v>323</v>
      </c>
      <c r="E290" s="197">
        <f>SUM(E291+E298)</f>
        <v>0</v>
      </c>
      <c r="F290" s="280">
        <f>SUM(F291+F298)</f>
        <v>28000</v>
      </c>
      <c r="G290" s="280">
        <f>SUM(G291+G298)</f>
        <v>30000</v>
      </c>
      <c r="H290" s="280">
        <f>SUM(H291+H298)</f>
        <v>30000</v>
      </c>
      <c r="I290" s="332">
        <f>AVERAGE(G290/F290*100)</f>
        <v>107.14285714285714</v>
      </c>
      <c r="J290" s="332">
        <f>AVERAGE(H290/G290*100)</f>
        <v>100</v>
      </c>
    </row>
    <row r="291" spans="1:10" s="150" customFormat="1" ht="13.8" x14ac:dyDescent="0.25">
      <c r="A291" s="125" t="s">
        <v>312</v>
      </c>
      <c r="B291" s="121"/>
      <c r="C291" s="163">
        <v>32</v>
      </c>
      <c r="D291" s="164" t="s">
        <v>180</v>
      </c>
      <c r="E291" s="123">
        <f>SUM(E292+E295)</f>
        <v>0</v>
      </c>
      <c r="F291" s="288">
        <f>SUM(F292+F295)</f>
        <v>24000</v>
      </c>
      <c r="G291" s="288">
        <v>25000</v>
      </c>
      <c r="H291" s="288">
        <v>25000</v>
      </c>
      <c r="I291" s="330">
        <f t="shared" ref="I291:J300" si="38">AVERAGE(G291/F291*100)</f>
        <v>104.16666666666667</v>
      </c>
      <c r="J291" s="330">
        <f t="shared" si="38"/>
        <v>100</v>
      </c>
    </row>
    <row r="292" spans="1:10" s="150" customFormat="1" ht="13.8" x14ac:dyDescent="0.25">
      <c r="A292" s="125" t="s">
        <v>312</v>
      </c>
      <c r="B292" s="121"/>
      <c r="C292" s="163">
        <v>323</v>
      </c>
      <c r="D292" s="164" t="s">
        <v>56</v>
      </c>
      <c r="E292" s="123">
        <f>SUM(E293:E294)</f>
        <v>0</v>
      </c>
      <c r="F292" s="288">
        <f>SUM(F293:F294)</f>
        <v>7000</v>
      </c>
      <c r="G292" s="288"/>
      <c r="H292" s="288"/>
      <c r="I292" s="330">
        <f t="shared" si="38"/>
        <v>0</v>
      </c>
      <c r="J292" s="330"/>
    </row>
    <row r="293" spans="1:10" s="132" customFormat="1" ht="13.8" hidden="1" x14ac:dyDescent="0.25">
      <c r="A293" s="125" t="s">
        <v>312</v>
      </c>
      <c r="B293" s="125">
        <v>71</v>
      </c>
      <c r="C293" s="165">
        <v>3233</v>
      </c>
      <c r="D293" s="166" t="s">
        <v>59</v>
      </c>
      <c r="E293" s="127">
        <v>0</v>
      </c>
      <c r="F293" s="291">
        <v>5000</v>
      </c>
      <c r="G293" s="291"/>
      <c r="H293" s="291"/>
      <c r="I293" s="330">
        <f t="shared" si="38"/>
        <v>0</v>
      </c>
      <c r="J293" s="330"/>
    </row>
    <row r="294" spans="1:10" s="132" customFormat="1" ht="13.8" hidden="1" x14ac:dyDescent="0.25">
      <c r="A294" s="125" t="s">
        <v>312</v>
      </c>
      <c r="B294" s="125">
        <v>72</v>
      </c>
      <c r="C294" s="165">
        <v>3239</v>
      </c>
      <c r="D294" s="166" t="s">
        <v>64</v>
      </c>
      <c r="E294" s="127">
        <v>0</v>
      </c>
      <c r="F294" s="291">
        <v>2000</v>
      </c>
      <c r="G294" s="291"/>
      <c r="H294" s="291"/>
      <c r="I294" s="330">
        <f t="shared" si="38"/>
        <v>0</v>
      </c>
      <c r="J294" s="330"/>
    </row>
    <row r="295" spans="1:10" s="150" customFormat="1" ht="13.8" x14ac:dyDescent="0.25">
      <c r="A295" s="125" t="s">
        <v>312</v>
      </c>
      <c r="B295" s="121"/>
      <c r="C295" s="163">
        <v>329</v>
      </c>
      <c r="D295" s="164" t="s">
        <v>65</v>
      </c>
      <c r="E295" s="123">
        <f>SUM(E296:E297)</f>
        <v>0</v>
      </c>
      <c r="F295" s="288">
        <f>SUM(F296:F297)</f>
        <v>17000</v>
      </c>
      <c r="G295" s="288"/>
      <c r="H295" s="288"/>
      <c r="I295" s="330">
        <f t="shared" si="38"/>
        <v>0</v>
      </c>
      <c r="J295" s="330"/>
    </row>
    <row r="296" spans="1:10" s="132" customFormat="1" ht="13.8" hidden="1" x14ac:dyDescent="0.25">
      <c r="A296" s="125" t="s">
        <v>312</v>
      </c>
      <c r="B296" s="125">
        <v>73</v>
      </c>
      <c r="C296" s="165">
        <v>3293</v>
      </c>
      <c r="D296" s="166" t="s">
        <v>68</v>
      </c>
      <c r="E296" s="127">
        <v>0</v>
      </c>
      <c r="F296" s="291">
        <v>15000</v>
      </c>
      <c r="G296" s="291"/>
      <c r="H296" s="291"/>
      <c r="I296" s="330">
        <f t="shared" si="38"/>
        <v>0</v>
      </c>
      <c r="J296" s="330"/>
    </row>
    <row r="297" spans="1:10" s="132" customFormat="1" ht="13.8" hidden="1" x14ac:dyDescent="0.25">
      <c r="A297" s="125" t="s">
        <v>312</v>
      </c>
      <c r="B297" s="125">
        <v>74</v>
      </c>
      <c r="C297" s="165">
        <v>3299</v>
      </c>
      <c r="D297" s="166" t="s">
        <v>231</v>
      </c>
      <c r="E297" s="127">
        <v>0</v>
      </c>
      <c r="F297" s="291">
        <v>2000</v>
      </c>
      <c r="G297" s="291"/>
      <c r="H297" s="291"/>
      <c r="I297" s="330">
        <f t="shared" si="38"/>
        <v>0</v>
      </c>
      <c r="J297" s="330"/>
    </row>
    <row r="298" spans="1:10" s="150" customFormat="1" ht="13.8" x14ac:dyDescent="0.25">
      <c r="A298" s="125" t="s">
        <v>312</v>
      </c>
      <c r="B298" s="121"/>
      <c r="C298" s="163">
        <v>38</v>
      </c>
      <c r="D298" s="164" t="s">
        <v>232</v>
      </c>
      <c r="E298" s="123">
        <f>SUM(E299)</f>
        <v>0</v>
      </c>
      <c r="F298" s="288">
        <f>SUM(F299)</f>
        <v>4000</v>
      </c>
      <c r="G298" s="288">
        <v>5000</v>
      </c>
      <c r="H298" s="288">
        <v>5000</v>
      </c>
      <c r="I298" s="330">
        <f t="shared" si="38"/>
        <v>125</v>
      </c>
      <c r="J298" s="330">
        <f t="shared" si="38"/>
        <v>100</v>
      </c>
    </row>
    <row r="299" spans="1:10" s="132" customFormat="1" ht="13.8" x14ac:dyDescent="0.25">
      <c r="A299" s="125" t="s">
        <v>312</v>
      </c>
      <c r="B299" s="121"/>
      <c r="C299" s="163">
        <v>381</v>
      </c>
      <c r="D299" s="164" t="s">
        <v>37</v>
      </c>
      <c r="E299" s="123">
        <f>SUM(E300)</f>
        <v>0</v>
      </c>
      <c r="F299" s="288">
        <f>SUM(F300)</f>
        <v>4000</v>
      </c>
      <c r="G299" s="288"/>
      <c r="H299" s="288"/>
      <c r="I299" s="330">
        <f t="shared" si="38"/>
        <v>0</v>
      </c>
      <c r="J299" s="330"/>
    </row>
    <row r="300" spans="1:10" s="132" customFormat="1" ht="13.8" hidden="1" x14ac:dyDescent="0.25">
      <c r="A300" s="125" t="s">
        <v>312</v>
      </c>
      <c r="B300" s="125">
        <v>75</v>
      </c>
      <c r="C300" s="165">
        <v>3811</v>
      </c>
      <c r="D300" s="166" t="s">
        <v>85</v>
      </c>
      <c r="E300" s="127">
        <v>0</v>
      </c>
      <c r="F300" s="291">
        <v>4000</v>
      </c>
      <c r="G300" s="291"/>
      <c r="H300" s="291"/>
      <c r="I300" s="330">
        <f t="shared" si="38"/>
        <v>0</v>
      </c>
      <c r="J300" s="330"/>
    </row>
    <row r="301" spans="1:10" s="190" customFormat="1" ht="13.8" thickBot="1" x14ac:dyDescent="0.3">
      <c r="A301" s="186"/>
      <c r="B301" s="105"/>
      <c r="C301" s="186"/>
      <c r="D301" s="105"/>
      <c r="E301" s="186"/>
      <c r="F301" s="304"/>
      <c r="G301" s="304"/>
      <c r="H301" s="304"/>
      <c r="I301" s="255"/>
      <c r="J301" s="255"/>
    </row>
    <row r="302" spans="1:10" s="99" customFormat="1" ht="16.2" thickBot="1" x14ac:dyDescent="0.35">
      <c r="A302" s="896" t="s">
        <v>233</v>
      </c>
      <c r="B302" s="897"/>
      <c r="C302" s="897"/>
      <c r="D302" s="897"/>
      <c r="E302" s="111">
        <f>SUM(E306)</f>
        <v>52000</v>
      </c>
      <c r="F302" s="283">
        <f>SUM(F306)</f>
        <v>102000</v>
      </c>
      <c r="G302" s="283">
        <f>SUM(G306)</f>
        <v>80000</v>
      </c>
      <c r="H302" s="283">
        <f>SUM(H306)</f>
        <v>70000</v>
      </c>
      <c r="I302" s="248">
        <f>AVERAGE(G302/F302*100)</f>
        <v>78.431372549019613</v>
      </c>
      <c r="J302" s="248">
        <f>AVERAGE(H302/G302*100)</f>
        <v>87.5</v>
      </c>
    </row>
    <row r="303" spans="1:10" s="99" customFormat="1" ht="15.6" x14ac:dyDescent="0.3">
      <c r="A303" s="214"/>
      <c r="B303" s="214"/>
      <c r="C303" s="214"/>
      <c r="D303" s="214"/>
      <c r="E303" s="199"/>
      <c r="F303" s="309"/>
      <c r="G303" s="309"/>
      <c r="H303" s="309"/>
      <c r="I303" s="247"/>
      <c r="J303" s="247"/>
    </row>
    <row r="304" spans="1:10" s="1" customFormat="1" ht="13.8" x14ac:dyDescent="0.25">
      <c r="A304" s="124"/>
      <c r="C304" s="207"/>
      <c r="D304" s="213" t="s">
        <v>234</v>
      </c>
      <c r="E304" s="116"/>
      <c r="F304" s="285"/>
      <c r="G304" s="285"/>
      <c r="H304" s="285"/>
      <c r="I304" s="249"/>
      <c r="J304" s="249"/>
    </row>
    <row r="305" spans="1:10" s="1" customFormat="1" ht="13.8" x14ac:dyDescent="0.25">
      <c r="A305" s="124"/>
      <c r="C305" s="207"/>
      <c r="D305" s="238" t="s">
        <v>209</v>
      </c>
      <c r="E305" s="118"/>
      <c r="F305" s="286"/>
      <c r="G305" s="286"/>
      <c r="H305" s="286"/>
      <c r="I305" s="250"/>
      <c r="J305" s="250"/>
    </row>
    <row r="306" spans="1:10" s="1" customFormat="1" ht="13.8" x14ac:dyDescent="0.25">
      <c r="A306" s="124"/>
      <c r="C306" s="207"/>
      <c r="D306" s="273" t="s">
        <v>324</v>
      </c>
      <c r="E306" s="197">
        <f>SUM(E307)</f>
        <v>52000</v>
      </c>
      <c r="F306" s="280">
        <f>SUM(F307)</f>
        <v>102000</v>
      </c>
      <c r="G306" s="280">
        <f>SUM(G307)</f>
        <v>80000</v>
      </c>
      <c r="H306" s="280">
        <f>SUM(H307)</f>
        <v>70000</v>
      </c>
      <c r="I306" s="332">
        <f>AVERAGE(G306/F306*100)</f>
        <v>78.431372549019613</v>
      </c>
      <c r="J306" s="332">
        <f>AVERAGE(H306/G306*100)</f>
        <v>87.5</v>
      </c>
    </row>
    <row r="307" spans="1:10" s="150" customFormat="1" ht="13.8" x14ac:dyDescent="0.25">
      <c r="A307" s="125" t="s">
        <v>313</v>
      </c>
      <c r="B307" s="121"/>
      <c r="C307" s="163">
        <v>38</v>
      </c>
      <c r="D307" s="164" t="s">
        <v>80</v>
      </c>
      <c r="E307" s="123">
        <f>SUM(E308+E310)</f>
        <v>52000</v>
      </c>
      <c r="F307" s="288">
        <f>SUM(F308+F310)</f>
        <v>102000</v>
      </c>
      <c r="G307" s="288">
        <v>80000</v>
      </c>
      <c r="H307" s="288">
        <v>70000</v>
      </c>
      <c r="I307" s="330">
        <f t="shared" ref="I307:J311" si="39">AVERAGE(G307/F307*100)</f>
        <v>78.431372549019613</v>
      </c>
      <c r="J307" s="330">
        <f t="shared" si="39"/>
        <v>87.5</v>
      </c>
    </row>
    <row r="308" spans="1:10" s="132" customFormat="1" ht="13.8" x14ac:dyDescent="0.25">
      <c r="A308" s="125" t="s">
        <v>313</v>
      </c>
      <c r="B308" s="121"/>
      <c r="C308" s="163">
        <v>381</v>
      </c>
      <c r="D308" s="164" t="s">
        <v>37</v>
      </c>
      <c r="E308" s="123">
        <f>SUM(E309)</f>
        <v>2000</v>
      </c>
      <c r="F308" s="288">
        <f>SUM(F309)</f>
        <v>2000</v>
      </c>
      <c r="G308" s="288"/>
      <c r="H308" s="288"/>
      <c r="I308" s="330">
        <f t="shared" si="39"/>
        <v>0</v>
      </c>
      <c r="J308" s="330"/>
    </row>
    <row r="309" spans="1:10" s="132" customFormat="1" ht="13.8" hidden="1" x14ac:dyDescent="0.25">
      <c r="A309" s="125" t="s">
        <v>313</v>
      </c>
      <c r="B309" s="125">
        <v>76</v>
      </c>
      <c r="C309" s="165">
        <v>38112</v>
      </c>
      <c r="D309" s="166" t="s">
        <v>82</v>
      </c>
      <c r="E309" s="127">
        <v>2000</v>
      </c>
      <c r="F309" s="291">
        <v>2000</v>
      </c>
      <c r="G309" s="291"/>
      <c r="H309" s="291"/>
      <c r="I309" s="330">
        <f t="shared" si="39"/>
        <v>0</v>
      </c>
      <c r="J309" s="330"/>
    </row>
    <row r="310" spans="1:10" s="150" customFormat="1" ht="13.8" x14ac:dyDescent="0.25">
      <c r="A310" s="125" t="s">
        <v>313</v>
      </c>
      <c r="B310" s="121"/>
      <c r="C310" s="163">
        <v>382</v>
      </c>
      <c r="D310" s="164" t="s">
        <v>38</v>
      </c>
      <c r="E310" s="123">
        <f>SUM(E311)</f>
        <v>50000</v>
      </c>
      <c r="F310" s="288">
        <f>SUM(F311)</f>
        <v>100000</v>
      </c>
      <c r="G310" s="288"/>
      <c r="H310" s="288"/>
      <c r="I310" s="330">
        <f t="shared" si="39"/>
        <v>0</v>
      </c>
      <c r="J310" s="330"/>
    </row>
    <row r="311" spans="1:10" s="132" customFormat="1" ht="13.8" hidden="1" x14ac:dyDescent="0.25">
      <c r="A311" s="125" t="s">
        <v>313</v>
      </c>
      <c r="B311" s="125">
        <v>77</v>
      </c>
      <c r="C311" s="165">
        <v>38212</v>
      </c>
      <c r="D311" s="166" t="s">
        <v>235</v>
      </c>
      <c r="E311" s="127">
        <v>50000</v>
      </c>
      <c r="F311" s="291">
        <v>100000</v>
      </c>
      <c r="G311" s="291"/>
      <c r="H311" s="291"/>
      <c r="I311" s="330">
        <f t="shared" si="39"/>
        <v>0</v>
      </c>
      <c r="J311" s="330"/>
    </row>
    <row r="312" spans="1:10" s="132" customFormat="1" ht="14.4" thickBot="1" x14ac:dyDescent="0.3">
      <c r="A312" s="129"/>
      <c r="B312" s="129"/>
      <c r="C312" s="172"/>
      <c r="D312" s="173"/>
      <c r="E312" s="131"/>
      <c r="F312" s="293"/>
      <c r="G312" s="293"/>
      <c r="H312" s="293"/>
      <c r="I312" s="252"/>
      <c r="J312" s="252"/>
    </row>
    <row r="313" spans="1:10" s="99" customFormat="1" ht="16.2" thickBot="1" x14ac:dyDescent="0.35">
      <c r="A313" s="896" t="s">
        <v>236</v>
      </c>
      <c r="B313" s="897"/>
      <c r="C313" s="897"/>
      <c r="D313" s="897"/>
      <c r="E313" s="111">
        <f>SUM(E317)</f>
        <v>84000</v>
      </c>
      <c r="F313" s="283">
        <f>SUM(F317)</f>
        <v>80000</v>
      </c>
      <c r="G313" s="283">
        <f>SUM(G317)</f>
        <v>80000</v>
      </c>
      <c r="H313" s="283">
        <f>SUM(H317)</f>
        <v>80000</v>
      </c>
      <c r="I313" s="248">
        <f>AVERAGE(G313/F313*100)</f>
        <v>100</v>
      </c>
      <c r="J313" s="248">
        <f>AVERAGE(H313/G313*100)</f>
        <v>100</v>
      </c>
    </row>
    <row r="314" spans="1:10" s="99" customFormat="1" ht="15.6" x14ac:dyDescent="0.3">
      <c r="A314" s="214"/>
      <c r="B314" s="214"/>
      <c r="C314" s="214"/>
      <c r="D314" s="214"/>
      <c r="E314" s="199"/>
      <c r="F314" s="309"/>
      <c r="G314" s="309"/>
      <c r="H314" s="309"/>
      <c r="I314" s="247"/>
      <c r="J314" s="247"/>
    </row>
    <row r="315" spans="1:10" s="1" customFormat="1" ht="13.8" x14ac:dyDescent="0.25">
      <c r="C315" s="207"/>
      <c r="D315" s="202" t="s">
        <v>178</v>
      </c>
      <c r="E315" s="116"/>
      <c r="F315" s="285"/>
      <c r="G315" s="285"/>
      <c r="H315" s="285"/>
      <c r="I315" s="257"/>
      <c r="J315" s="257"/>
    </row>
    <row r="316" spans="1:10" s="1" customFormat="1" x14ac:dyDescent="0.25">
      <c r="C316" s="207"/>
      <c r="D316" s="238" t="s">
        <v>197</v>
      </c>
      <c r="E316" s="215"/>
      <c r="F316" s="314"/>
      <c r="G316" s="314"/>
      <c r="H316" s="314"/>
      <c r="I316" s="258"/>
      <c r="J316" s="258"/>
    </row>
    <row r="317" spans="1:10" s="1" customFormat="1" ht="13.8" x14ac:dyDescent="0.25">
      <c r="B317" s="2"/>
      <c r="C317" s="207"/>
      <c r="D317" s="272" t="s">
        <v>325</v>
      </c>
      <c r="E317" s="197">
        <f>SUM(E318)</f>
        <v>84000</v>
      </c>
      <c r="F317" s="280">
        <f>SUM(F318)</f>
        <v>80000</v>
      </c>
      <c r="G317" s="280">
        <f>SUM(G318)</f>
        <v>80000</v>
      </c>
      <c r="H317" s="280">
        <f>SUM(H318)</f>
        <v>80000</v>
      </c>
      <c r="I317" s="332">
        <f>AVERAGE(G317/F317*100)</f>
        <v>100</v>
      </c>
      <c r="J317" s="332">
        <f>AVERAGE(H317/G317*100)</f>
        <v>100</v>
      </c>
    </row>
    <row r="318" spans="1:10" s="150" customFormat="1" ht="13.8" x14ac:dyDescent="0.25">
      <c r="A318" s="125" t="s">
        <v>347</v>
      </c>
      <c r="B318" s="121"/>
      <c r="C318" s="163">
        <v>38</v>
      </c>
      <c r="D318" s="164" t="s">
        <v>80</v>
      </c>
      <c r="E318" s="123">
        <f>SUM(E319+E322)</f>
        <v>84000</v>
      </c>
      <c r="F318" s="288">
        <f>SUM(F319+F322)</f>
        <v>80000</v>
      </c>
      <c r="G318" s="288">
        <v>80000</v>
      </c>
      <c r="H318" s="288">
        <v>80000</v>
      </c>
      <c r="I318" s="330">
        <f t="shared" ref="I318:J323" si="40">AVERAGE(G318/F318*100)</f>
        <v>100</v>
      </c>
      <c r="J318" s="330">
        <f t="shared" si="40"/>
        <v>100</v>
      </c>
    </row>
    <row r="319" spans="1:10" s="132" customFormat="1" ht="13.8" x14ac:dyDescent="0.25">
      <c r="A319" s="125" t="s">
        <v>347</v>
      </c>
      <c r="B319" s="121"/>
      <c r="C319" s="163">
        <v>381</v>
      </c>
      <c r="D319" s="164" t="s">
        <v>37</v>
      </c>
      <c r="E319" s="123">
        <f>SUM(E320:E321)</f>
        <v>74000</v>
      </c>
      <c r="F319" s="288">
        <f>SUM(F320:F321)</f>
        <v>75000</v>
      </c>
      <c r="G319" s="288"/>
      <c r="H319" s="288"/>
      <c r="I319" s="330">
        <f t="shared" si="40"/>
        <v>0</v>
      </c>
      <c r="J319" s="330"/>
    </row>
    <row r="320" spans="1:10" s="132" customFormat="1" ht="13.8" hidden="1" x14ac:dyDescent="0.25">
      <c r="A320" s="125" t="s">
        <v>347</v>
      </c>
      <c r="B320" s="125">
        <v>78</v>
      </c>
      <c r="C320" s="165">
        <v>381141</v>
      </c>
      <c r="D320" s="166" t="s">
        <v>228</v>
      </c>
      <c r="E320" s="127">
        <v>70000</v>
      </c>
      <c r="F320" s="291">
        <v>70000</v>
      </c>
      <c r="G320" s="291"/>
      <c r="H320" s="291"/>
      <c r="I320" s="330">
        <f t="shared" si="40"/>
        <v>0</v>
      </c>
      <c r="J320" s="330"/>
    </row>
    <row r="321" spans="1:10" s="132" customFormat="1" ht="13.8" hidden="1" x14ac:dyDescent="0.25">
      <c r="A321" s="125" t="s">
        <v>347</v>
      </c>
      <c r="B321" s="125">
        <v>79</v>
      </c>
      <c r="C321" s="165">
        <v>38119</v>
      </c>
      <c r="D321" s="166" t="s">
        <v>85</v>
      </c>
      <c r="E321" s="127">
        <v>4000</v>
      </c>
      <c r="F321" s="291">
        <v>5000</v>
      </c>
      <c r="G321" s="291"/>
      <c r="H321" s="291"/>
      <c r="I321" s="330">
        <f t="shared" si="40"/>
        <v>0</v>
      </c>
      <c r="J321" s="330"/>
    </row>
    <row r="322" spans="1:10" s="132" customFormat="1" ht="13.8" x14ac:dyDescent="0.25">
      <c r="A322" s="125" t="s">
        <v>347</v>
      </c>
      <c r="B322" s="121"/>
      <c r="C322" s="163">
        <v>382</v>
      </c>
      <c r="D322" s="164" t="s">
        <v>38</v>
      </c>
      <c r="E322" s="123">
        <f>SUM(E323)</f>
        <v>10000</v>
      </c>
      <c r="F322" s="288">
        <f>SUM(F323)</f>
        <v>5000</v>
      </c>
      <c r="G322" s="288"/>
      <c r="H322" s="288"/>
      <c r="I322" s="330">
        <f t="shared" si="40"/>
        <v>0</v>
      </c>
      <c r="J322" s="330"/>
    </row>
    <row r="323" spans="1:10" s="132" customFormat="1" ht="13.8" hidden="1" x14ac:dyDescent="0.25">
      <c r="A323" s="125" t="s">
        <v>347</v>
      </c>
      <c r="B323" s="125">
        <v>80</v>
      </c>
      <c r="C323" s="165">
        <v>38214</v>
      </c>
      <c r="D323" s="166" t="s">
        <v>237</v>
      </c>
      <c r="E323" s="127">
        <v>10000</v>
      </c>
      <c r="F323" s="291">
        <v>5000</v>
      </c>
      <c r="G323" s="291"/>
      <c r="H323" s="291"/>
      <c r="I323" s="330">
        <f t="shared" si="40"/>
        <v>0</v>
      </c>
      <c r="J323" s="330"/>
    </row>
    <row r="324" spans="1:10" s="132" customFormat="1" ht="14.4" thickBot="1" x14ac:dyDescent="0.3">
      <c r="A324" s="129"/>
      <c r="B324" s="129"/>
      <c r="C324" s="172"/>
      <c r="D324" s="173"/>
      <c r="E324" s="131"/>
      <c r="F324" s="293"/>
      <c r="G324" s="293"/>
      <c r="H324" s="293"/>
      <c r="I324" s="252"/>
      <c r="J324" s="252"/>
    </row>
    <row r="325" spans="1:10" s="210" customFormat="1" ht="17.399999999999999" thickBot="1" x14ac:dyDescent="0.35">
      <c r="A325" s="898" t="s">
        <v>238</v>
      </c>
      <c r="B325" s="899"/>
      <c r="C325" s="899"/>
      <c r="D325" s="899"/>
      <c r="E325" s="216">
        <f>SUM(E327)</f>
        <v>0</v>
      </c>
      <c r="F325" s="281">
        <f>SUM(F327)</f>
        <v>10000</v>
      </c>
      <c r="G325" s="281">
        <f>SUM(G327)</f>
        <v>10000</v>
      </c>
      <c r="H325" s="281">
        <f>SUM(H327)</f>
        <v>10000</v>
      </c>
      <c r="I325" s="246">
        <f>AVERAGE(G325/F325*100)</f>
        <v>100</v>
      </c>
      <c r="J325" s="246">
        <f>AVERAGE(H325/G325*100)</f>
        <v>100</v>
      </c>
    </row>
    <row r="326" spans="1:10" s="210" customFormat="1" ht="17.399999999999999" thickBot="1" x14ac:dyDescent="0.35">
      <c r="A326" s="217"/>
      <c r="B326" s="217"/>
      <c r="C326" s="217"/>
      <c r="D326" s="217"/>
      <c r="E326" s="192"/>
      <c r="F326" s="305"/>
      <c r="G326" s="305"/>
      <c r="H326" s="305"/>
      <c r="I326" s="247"/>
      <c r="J326" s="247"/>
    </row>
    <row r="327" spans="1:10" s="99" customFormat="1" ht="16.2" thickBot="1" x14ac:dyDescent="0.35">
      <c r="A327" s="885" t="s">
        <v>239</v>
      </c>
      <c r="B327" s="886"/>
      <c r="C327" s="886"/>
      <c r="D327" s="886"/>
      <c r="E327" s="111">
        <f>SUM(E331)</f>
        <v>0</v>
      </c>
      <c r="F327" s="283">
        <f>SUM(F331)</f>
        <v>10000</v>
      </c>
      <c r="G327" s="283">
        <f>SUM(G331)</f>
        <v>10000</v>
      </c>
      <c r="H327" s="283">
        <f>SUM(H331)</f>
        <v>10000</v>
      </c>
      <c r="I327" s="248">
        <f>AVERAGE(G327/F327*100)</f>
        <v>100</v>
      </c>
      <c r="J327" s="248">
        <f>AVERAGE(H327/G327*100)</f>
        <v>100</v>
      </c>
    </row>
    <row r="328" spans="1:10" ht="13.8" x14ac:dyDescent="0.25">
      <c r="B328" s="1"/>
      <c r="C328" s="207"/>
      <c r="D328" s="212"/>
      <c r="E328" s="195"/>
      <c r="F328" s="306"/>
      <c r="G328" s="306"/>
      <c r="H328" s="306"/>
      <c r="I328" s="247"/>
      <c r="J328" s="247"/>
    </row>
    <row r="329" spans="1:10" s="1" customFormat="1" ht="13.8" x14ac:dyDescent="0.25">
      <c r="C329" s="207"/>
      <c r="D329" s="202" t="s">
        <v>240</v>
      </c>
      <c r="E329" s="116"/>
      <c r="F329" s="285"/>
      <c r="G329" s="285"/>
      <c r="H329" s="285"/>
      <c r="I329" s="257"/>
      <c r="J329" s="257"/>
    </row>
    <row r="330" spans="1:10" s="1" customFormat="1" ht="14.25" customHeight="1" x14ac:dyDescent="0.25">
      <c r="C330" s="207"/>
      <c r="D330" s="238" t="s">
        <v>195</v>
      </c>
      <c r="E330" s="118"/>
      <c r="F330" s="286"/>
      <c r="G330" s="314"/>
      <c r="H330" s="314"/>
      <c r="I330" s="258"/>
      <c r="J330" s="258"/>
    </row>
    <row r="331" spans="1:10" s="1" customFormat="1" ht="13.8" x14ac:dyDescent="0.25">
      <c r="C331" s="207"/>
      <c r="D331" s="272" t="s">
        <v>326</v>
      </c>
      <c r="E331" s="197">
        <f t="shared" ref="E331:H333" si="41">SUM(E332)</f>
        <v>0</v>
      </c>
      <c r="F331" s="280">
        <f t="shared" si="41"/>
        <v>10000</v>
      </c>
      <c r="G331" s="280">
        <f t="shared" si="41"/>
        <v>10000</v>
      </c>
      <c r="H331" s="280">
        <f t="shared" si="41"/>
        <v>10000</v>
      </c>
      <c r="I331" s="332">
        <f>AVERAGE(G331/F331*100)</f>
        <v>100</v>
      </c>
      <c r="J331" s="332">
        <f>AVERAGE(H331/G331*100)</f>
        <v>100</v>
      </c>
    </row>
    <row r="332" spans="1:10" s="150" customFormat="1" ht="13.8" x14ac:dyDescent="0.25">
      <c r="A332" s="151" t="s">
        <v>292</v>
      </c>
      <c r="B332" s="121"/>
      <c r="C332" s="163">
        <v>32</v>
      </c>
      <c r="D332" s="164" t="s">
        <v>180</v>
      </c>
      <c r="E332" s="123">
        <f t="shared" si="41"/>
        <v>0</v>
      </c>
      <c r="F332" s="288">
        <f t="shared" si="41"/>
        <v>10000</v>
      </c>
      <c r="G332" s="288">
        <v>10000</v>
      </c>
      <c r="H332" s="288">
        <v>10000</v>
      </c>
      <c r="I332" s="330">
        <f t="shared" ref="I332:J334" si="42">AVERAGE(G332/F332*100)</f>
        <v>100</v>
      </c>
      <c r="J332" s="330">
        <f t="shared" si="42"/>
        <v>100</v>
      </c>
    </row>
    <row r="333" spans="1:10" s="150" customFormat="1" ht="13.8" x14ac:dyDescent="0.25">
      <c r="A333" s="151" t="s">
        <v>292</v>
      </c>
      <c r="B333" s="121"/>
      <c r="C333" s="163">
        <v>323</v>
      </c>
      <c r="D333" s="164" t="s">
        <v>56</v>
      </c>
      <c r="E333" s="123">
        <f t="shared" si="41"/>
        <v>0</v>
      </c>
      <c r="F333" s="288">
        <f t="shared" si="41"/>
        <v>10000</v>
      </c>
      <c r="G333" s="288"/>
      <c r="H333" s="288"/>
      <c r="I333" s="330">
        <f t="shared" si="42"/>
        <v>0</v>
      </c>
      <c r="J333" s="330"/>
    </row>
    <row r="334" spans="1:10" s="132" customFormat="1" ht="13.8" hidden="1" x14ac:dyDescent="0.25">
      <c r="A334" s="151" t="s">
        <v>292</v>
      </c>
      <c r="B334" s="125">
        <v>81</v>
      </c>
      <c r="C334" s="165">
        <v>3234</v>
      </c>
      <c r="D334" s="166" t="s">
        <v>60</v>
      </c>
      <c r="E334" s="127">
        <v>0</v>
      </c>
      <c r="F334" s="291">
        <v>10000</v>
      </c>
      <c r="G334" s="291"/>
      <c r="H334" s="291"/>
      <c r="I334" s="330">
        <f t="shared" si="42"/>
        <v>0</v>
      </c>
      <c r="J334" s="330"/>
    </row>
    <row r="335" spans="1:10" s="99" customFormat="1" ht="15.6" thickBot="1" x14ac:dyDescent="0.3">
      <c r="A335" s="128"/>
      <c r="C335" s="194"/>
      <c r="D335" s="218"/>
      <c r="E335" s="219"/>
      <c r="F335" s="315"/>
      <c r="G335" s="315"/>
      <c r="H335" s="315"/>
      <c r="I335" s="247"/>
      <c r="J335" s="247"/>
    </row>
    <row r="336" spans="1:10" s="210" customFormat="1" ht="17.399999999999999" thickBot="1" x14ac:dyDescent="0.35">
      <c r="A336" s="902" t="s">
        <v>282</v>
      </c>
      <c r="B336" s="903"/>
      <c r="C336" s="903"/>
      <c r="D336" s="903"/>
      <c r="E336" s="198">
        <f>SUM(E338+E371+E414)</f>
        <v>2675000</v>
      </c>
      <c r="F336" s="308">
        <f>SUM(F338+F371+F414)</f>
        <v>6430000</v>
      </c>
      <c r="G336" s="308">
        <f>SUM(G338+G371+G414)</f>
        <v>3580000</v>
      </c>
      <c r="H336" s="308">
        <f>SUM(H338+H371+H414)</f>
        <v>3950000</v>
      </c>
      <c r="I336" s="246">
        <f>AVERAGE(G336/F336*100)</f>
        <v>55.676516329704505</v>
      </c>
      <c r="J336" s="246">
        <f>AVERAGE(H336/G336*100)</f>
        <v>110.33519553072625</v>
      </c>
    </row>
    <row r="337" spans="1:10" s="210" customFormat="1" ht="17.399999999999999" thickBot="1" x14ac:dyDescent="0.35">
      <c r="A337" s="220"/>
      <c r="B337" s="220"/>
      <c r="C337" s="220"/>
      <c r="D337" s="220"/>
      <c r="E337" s="192"/>
      <c r="F337" s="305"/>
      <c r="G337" s="305"/>
      <c r="H337" s="305"/>
      <c r="I337" s="247"/>
      <c r="J337" s="247"/>
    </row>
    <row r="338" spans="1:10" s="99" customFormat="1" ht="16.2" thickBot="1" x14ac:dyDescent="0.35">
      <c r="A338" s="885" t="s">
        <v>241</v>
      </c>
      <c r="B338" s="886"/>
      <c r="C338" s="886"/>
      <c r="D338" s="886"/>
      <c r="E338" s="111">
        <f>SUM(E342+E351+E359+E366)</f>
        <v>0</v>
      </c>
      <c r="F338" s="283">
        <f>SUM(F342+F351+F359+F366)</f>
        <v>670000</v>
      </c>
      <c r="G338" s="283">
        <f>SUM(G342+G351+G359+G366)</f>
        <v>550000</v>
      </c>
      <c r="H338" s="283">
        <f>SUM(H342+H351+H359+H366)</f>
        <v>480000</v>
      </c>
      <c r="I338" s="248">
        <f>AVERAGE(G338/F338*100)</f>
        <v>82.089552238805979</v>
      </c>
      <c r="J338" s="248">
        <f>AVERAGE(H338/G338*100)</f>
        <v>87.272727272727266</v>
      </c>
    </row>
    <row r="339" spans="1:10" ht="13.8" x14ac:dyDescent="0.25">
      <c r="A339" s="128"/>
      <c r="B339" s="1"/>
      <c r="C339" s="207"/>
      <c r="D339" s="212"/>
      <c r="E339" s="195"/>
      <c r="F339" s="306"/>
      <c r="G339" s="306"/>
      <c r="H339" s="306"/>
      <c r="I339" s="247"/>
      <c r="J339" s="247"/>
    </row>
    <row r="340" spans="1:10" ht="15.75" customHeight="1" x14ac:dyDescent="0.25">
      <c r="A340" s="128"/>
      <c r="B340" s="1"/>
      <c r="C340" s="207"/>
      <c r="D340" s="202" t="s">
        <v>223</v>
      </c>
      <c r="E340" s="116"/>
      <c r="F340" s="285"/>
      <c r="G340" s="285"/>
      <c r="H340" s="285"/>
      <c r="I340" s="249"/>
      <c r="J340" s="249"/>
    </row>
    <row r="341" spans="1:10" ht="15.75" customHeight="1" x14ac:dyDescent="0.25">
      <c r="A341" s="128"/>
      <c r="B341" s="1"/>
      <c r="C341" s="207"/>
      <c r="D341" s="237" t="s">
        <v>195</v>
      </c>
      <c r="E341" s="118"/>
      <c r="F341" s="286"/>
      <c r="G341" s="286"/>
      <c r="H341" s="286"/>
      <c r="I341" s="250"/>
      <c r="J341" s="250"/>
    </row>
    <row r="342" spans="1:10" ht="16.5" customHeight="1" x14ac:dyDescent="0.25">
      <c r="A342" s="128"/>
      <c r="B342" s="1"/>
      <c r="C342" s="207"/>
      <c r="D342" s="272" t="s">
        <v>327</v>
      </c>
      <c r="E342" s="197">
        <f>SUM(E343)</f>
        <v>0</v>
      </c>
      <c r="F342" s="280">
        <f>SUM(F343)</f>
        <v>115000</v>
      </c>
      <c r="G342" s="280">
        <f>SUM(G343)</f>
        <v>100000</v>
      </c>
      <c r="H342" s="280">
        <f>SUM(H343)</f>
        <v>80000</v>
      </c>
      <c r="I342" s="332">
        <f>AVERAGE(G342/F342*100)</f>
        <v>86.956521739130437</v>
      </c>
      <c r="J342" s="332">
        <f>AVERAGE(H342/G342*100)</f>
        <v>80</v>
      </c>
    </row>
    <row r="343" spans="1:10" s="150" customFormat="1" ht="13.8" x14ac:dyDescent="0.25">
      <c r="A343" s="151" t="s">
        <v>292</v>
      </c>
      <c r="B343" s="121"/>
      <c r="C343" s="163">
        <v>32</v>
      </c>
      <c r="D343" s="164" t="s">
        <v>180</v>
      </c>
      <c r="E343" s="123">
        <f>SUM(E344+E346)</f>
        <v>0</v>
      </c>
      <c r="F343" s="288">
        <f>SUM(F344+F346)</f>
        <v>115000</v>
      </c>
      <c r="G343" s="288">
        <v>100000</v>
      </c>
      <c r="H343" s="288">
        <v>80000</v>
      </c>
      <c r="I343" s="330">
        <f t="shared" ref="I343:J347" si="43">AVERAGE(G343/F343*100)</f>
        <v>86.956521739130437</v>
      </c>
      <c r="J343" s="330">
        <f t="shared" si="43"/>
        <v>80</v>
      </c>
    </row>
    <row r="344" spans="1:10" s="150" customFormat="1" ht="13.8" x14ac:dyDescent="0.25">
      <c r="A344" s="151" t="s">
        <v>292</v>
      </c>
      <c r="B344" s="121"/>
      <c r="C344" s="163">
        <v>322</v>
      </c>
      <c r="D344" s="164" t="s">
        <v>52</v>
      </c>
      <c r="E344" s="123">
        <f>SUM(E345)</f>
        <v>0</v>
      </c>
      <c r="F344" s="288">
        <f>SUM(F345)</f>
        <v>100000</v>
      </c>
      <c r="G344" s="288"/>
      <c r="H344" s="288"/>
      <c r="I344" s="330">
        <f t="shared" si="43"/>
        <v>0</v>
      </c>
      <c r="J344" s="330"/>
    </row>
    <row r="345" spans="1:10" s="132" customFormat="1" ht="13.8" hidden="1" x14ac:dyDescent="0.25">
      <c r="A345" s="151" t="s">
        <v>292</v>
      </c>
      <c r="B345" s="125">
        <v>82</v>
      </c>
      <c r="C345" s="165">
        <v>3223</v>
      </c>
      <c r="D345" s="166" t="s">
        <v>54</v>
      </c>
      <c r="E345" s="127">
        <v>0</v>
      </c>
      <c r="F345" s="291">
        <v>100000</v>
      </c>
      <c r="G345" s="291"/>
      <c r="H345" s="291"/>
      <c r="I345" s="330">
        <f t="shared" si="43"/>
        <v>0</v>
      </c>
      <c r="J345" s="330"/>
    </row>
    <row r="346" spans="1:10" s="150" customFormat="1" ht="13.8" x14ac:dyDescent="0.25">
      <c r="A346" s="151" t="s">
        <v>292</v>
      </c>
      <c r="B346" s="121"/>
      <c r="C346" s="163">
        <v>323</v>
      </c>
      <c r="D346" s="164" t="s">
        <v>56</v>
      </c>
      <c r="E346" s="123">
        <f>SUM(E347)</f>
        <v>0</v>
      </c>
      <c r="F346" s="288">
        <f>SUM(F347)</f>
        <v>15000</v>
      </c>
      <c r="G346" s="288"/>
      <c r="H346" s="288"/>
      <c r="I346" s="330">
        <f t="shared" si="43"/>
        <v>0</v>
      </c>
      <c r="J346" s="330"/>
    </row>
    <row r="347" spans="1:10" s="132" customFormat="1" ht="13.8" hidden="1" x14ac:dyDescent="0.25">
      <c r="A347" s="151" t="s">
        <v>292</v>
      </c>
      <c r="B347" s="125">
        <v>83</v>
      </c>
      <c r="C347" s="165">
        <v>3232</v>
      </c>
      <c r="D347" s="166" t="s">
        <v>242</v>
      </c>
      <c r="E347" s="127">
        <v>0</v>
      </c>
      <c r="F347" s="291">
        <v>15000</v>
      </c>
      <c r="G347" s="291"/>
      <c r="H347" s="291"/>
      <c r="I347" s="330">
        <f t="shared" si="43"/>
        <v>0</v>
      </c>
      <c r="J347" s="330"/>
    </row>
    <row r="348" spans="1:10" s="132" customFormat="1" ht="13.8" x14ac:dyDescent="0.25">
      <c r="A348" s="129"/>
      <c r="B348" s="129"/>
      <c r="C348" s="172"/>
      <c r="D348" s="173"/>
      <c r="E348" s="131"/>
      <c r="F348" s="293"/>
      <c r="G348" s="293"/>
      <c r="H348" s="293"/>
      <c r="I348" s="252"/>
      <c r="J348" s="252"/>
    </row>
    <row r="349" spans="1:10" ht="13.8" x14ac:dyDescent="0.25">
      <c r="A349" s="128"/>
      <c r="B349" s="1"/>
      <c r="C349" s="207"/>
      <c r="D349" s="115" t="s">
        <v>223</v>
      </c>
      <c r="E349" s="116"/>
      <c r="F349" s="285"/>
      <c r="G349" s="285"/>
      <c r="H349" s="285"/>
      <c r="I349" s="249"/>
      <c r="J349" s="249"/>
    </row>
    <row r="350" spans="1:10" ht="14.4" x14ac:dyDescent="0.3">
      <c r="A350" s="128"/>
      <c r="B350" s="1"/>
      <c r="C350" s="207"/>
      <c r="D350" s="184" t="s">
        <v>195</v>
      </c>
      <c r="E350" s="118"/>
      <c r="F350" s="286"/>
      <c r="G350" s="286"/>
      <c r="H350" s="286"/>
      <c r="I350" s="250"/>
      <c r="J350" s="250"/>
    </row>
    <row r="351" spans="1:10" ht="13.8" x14ac:dyDescent="0.25">
      <c r="A351" s="128"/>
      <c r="B351" s="1"/>
      <c r="C351" s="207"/>
      <c r="D351" s="268" t="s">
        <v>328</v>
      </c>
      <c r="E351" s="197">
        <f t="shared" ref="E351:H352" si="44">SUM(E352)</f>
        <v>0</v>
      </c>
      <c r="F351" s="280">
        <f t="shared" si="44"/>
        <v>55000</v>
      </c>
      <c r="G351" s="280">
        <f t="shared" si="44"/>
        <v>50000</v>
      </c>
      <c r="H351" s="280">
        <f t="shared" si="44"/>
        <v>50000</v>
      </c>
      <c r="I351" s="332">
        <f>AVERAGE(G351/F351*100)</f>
        <v>90.909090909090907</v>
      </c>
      <c r="J351" s="332">
        <f>AVERAGE(H351/G351*100)</f>
        <v>100</v>
      </c>
    </row>
    <row r="352" spans="1:10" s="150" customFormat="1" ht="13.8" x14ac:dyDescent="0.25">
      <c r="A352" s="165" t="s">
        <v>306</v>
      </c>
      <c r="B352" s="121"/>
      <c r="C352" s="163">
        <v>32</v>
      </c>
      <c r="D352" s="164" t="s">
        <v>180</v>
      </c>
      <c r="E352" s="123">
        <f t="shared" si="44"/>
        <v>0</v>
      </c>
      <c r="F352" s="288">
        <f t="shared" si="44"/>
        <v>55000</v>
      </c>
      <c r="G352" s="288">
        <v>50000</v>
      </c>
      <c r="H352" s="288">
        <v>50000</v>
      </c>
      <c r="I352" s="330">
        <f t="shared" ref="I352:J355" si="45">AVERAGE(G352/F352*100)</f>
        <v>90.909090909090907</v>
      </c>
      <c r="J352" s="330">
        <f t="shared" si="45"/>
        <v>100</v>
      </c>
    </row>
    <row r="353" spans="1:10" s="150" customFormat="1" ht="13.8" x14ac:dyDescent="0.25">
      <c r="A353" s="165" t="s">
        <v>306</v>
      </c>
      <c r="B353" s="121"/>
      <c r="C353" s="163">
        <v>323</v>
      </c>
      <c r="D353" s="164" t="s">
        <v>56</v>
      </c>
      <c r="E353" s="123">
        <f>SUM(E354:E355)</f>
        <v>0</v>
      </c>
      <c r="F353" s="288">
        <f>SUM(F354:F355)</f>
        <v>55000</v>
      </c>
      <c r="G353" s="288"/>
      <c r="H353" s="288"/>
      <c r="I353" s="330">
        <f t="shared" si="45"/>
        <v>0</v>
      </c>
      <c r="J353" s="330"/>
    </row>
    <row r="354" spans="1:10" s="132" customFormat="1" ht="13.8" hidden="1" x14ac:dyDescent="0.25">
      <c r="A354" s="165" t="s">
        <v>306</v>
      </c>
      <c r="B354" s="125">
        <v>84</v>
      </c>
      <c r="C354" s="165">
        <v>3232</v>
      </c>
      <c r="D354" s="166" t="s">
        <v>242</v>
      </c>
      <c r="E354" s="127">
        <v>0</v>
      </c>
      <c r="F354" s="291">
        <v>10000</v>
      </c>
      <c r="G354" s="291"/>
      <c r="H354" s="291"/>
      <c r="I354" s="330">
        <f t="shared" si="45"/>
        <v>0</v>
      </c>
      <c r="J354" s="330"/>
    </row>
    <row r="355" spans="1:10" s="132" customFormat="1" ht="13.8" hidden="1" x14ac:dyDescent="0.25">
      <c r="A355" s="165" t="s">
        <v>306</v>
      </c>
      <c r="B355" s="125">
        <v>85</v>
      </c>
      <c r="C355" s="165">
        <v>3234</v>
      </c>
      <c r="D355" s="166" t="s">
        <v>60</v>
      </c>
      <c r="E355" s="127">
        <v>0</v>
      </c>
      <c r="F355" s="291">
        <v>45000</v>
      </c>
      <c r="G355" s="291"/>
      <c r="H355" s="291"/>
      <c r="I355" s="330">
        <f t="shared" si="45"/>
        <v>0</v>
      </c>
      <c r="J355" s="330"/>
    </row>
    <row r="356" spans="1:10" s="132" customFormat="1" ht="13.8" x14ac:dyDescent="0.25">
      <c r="A356" s="129"/>
      <c r="B356" s="129"/>
      <c r="C356" s="172"/>
      <c r="D356" s="173"/>
      <c r="E356" s="131"/>
      <c r="F356" s="293"/>
      <c r="G356" s="293"/>
      <c r="H356" s="293"/>
      <c r="I356" s="252"/>
      <c r="J356" s="252"/>
    </row>
    <row r="357" spans="1:10" ht="13.8" x14ac:dyDescent="0.25">
      <c r="B357" s="1"/>
      <c r="C357" s="207"/>
      <c r="D357" s="202" t="s">
        <v>223</v>
      </c>
      <c r="E357" s="116"/>
      <c r="F357" s="285"/>
      <c r="G357" s="285"/>
      <c r="H357" s="285"/>
      <c r="I357" s="257"/>
      <c r="J357" s="257"/>
    </row>
    <row r="358" spans="1:10" ht="14.25" customHeight="1" x14ac:dyDescent="0.25">
      <c r="B358" s="1"/>
      <c r="C358" s="207"/>
      <c r="D358" s="238" t="s">
        <v>243</v>
      </c>
      <c r="E358" s="118"/>
      <c r="F358" s="286"/>
      <c r="G358" s="286"/>
      <c r="H358" s="286"/>
      <c r="I358" s="258"/>
      <c r="J358" s="258"/>
    </row>
    <row r="359" spans="1:10" ht="13.8" x14ac:dyDescent="0.25">
      <c r="B359" s="1"/>
      <c r="C359" s="207"/>
      <c r="D359" s="273" t="s">
        <v>329</v>
      </c>
      <c r="E359" s="197">
        <f t="shared" ref="E359:H361" si="46">SUM(E360)</f>
        <v>0</v>
      </c>
      <c r="F359" s="280">
        <f t="shared" si="46"/>
        <v>250000</v>
      </c>
      <c r="G359" s="280">
        <f t="shared" si="46"/>
        <v>200000</v>
      </c>
      <c r="H359" s="280">
        <f t="shared" si="46"/>
        <v>150000</v>
      </c>
      <c r="I359" s="332">
        <f>AVERAGE(G359/F359*100)</f>
        <v>80</v>
      </c>
      <c r="J359" s="332">
        <f>AVERAGE(H359/G359*100)</f>
        <v>75</v>
      </c>
    </row>
    <row r="360" spans="1:10" s="150" customFormat="1" ht="13.8" x14ac:dyDescent="0.25">
      <c r="A360" s="125" t="s">
        <v>307</v>
      </c>
      <c r="B360" s="121"/>
      <c r="C360" s="163">
        <v>32</v>
      </c>
      <c r="D360" s="164" t="s">
        <v>180</v>
      </c>
      <c r="E360" s="123">
        <f t="shared" si="46"/>
        <v>0</v>
      </c>
      <c r="F360" s="288">
        <f t="shared" si="46"/>
        <v>250000</v>
      </c>
      <c r="G360" s="288">
        <v>200000</v>
      </c>
      <c r="H360" s="288">
        <v>150000</v>
      </c>
      <c r="I360" s="330">
        <f t="shared" ref="I360:J362" si="47">AVERAGE(G360/F360*100)</f>
        <v>80</v>
      </c>
      <c r="J360" s="330">
        <f t="shared" si="47"/>
        <v>75</v>
      </c>
    </row>
    <row r="361" spans="1:10" s="150" customFormat="1" ht="13.8" x14ac:dyDescent="0.25">
      <c r="A361" s="125" t="s">
        <v>307</v>
      </c>
      <c r="B361" s="121"/>
      <c r="C361" s="163">
        <v>323</v>
      </c>
      <c r="D361" s="164" t="s">
        <v>56</v>
      </c>
      <c r="E361" s="123">
        <f t="shared" si="46"/>
        <v>0</v>
      </c>
      <c r="F361" s="288">
        <f t="shared" si="46"/>
        <v>250000</v>
      </c>
      <c r="G361" s="288"/>
      <c r="H361" s="288"/>
      <c r="I361" s="330">
        <f t="shared" si="47"/>
        <v>0</v>
      </c>
      <c r="J361" s="330"/>
    </row>
    <row r="362" spans="1:10" s="132" customFormat="1" ht="13.8" hidden="1" x14ac:dyDescent="0.25">
      <c r="A362" s="125" t="s">
        <v>307</v>
      </c>
      <c r="B362" s="125">
        <v>86</v>
      </c>
      <c r="C362" s="165">
        <v>3232</v>
      </c>
      <c r="D362" s="166" t="s">
        <v>242</v>
      </c>
      <c r="E362" s="127">
        <v>0</v>
      </c>
      <c r="F362" s="291">
        <v>250000</v>
      </c>
      <c r="G362" s="291"/>
      <c r="H362" s="291"/>
      <c r="I362" s="330">
        <f t="shared" si="47"/>
        <v>0</v>
      </c>
      <c r="J362" s="330"/>
    </row>
    <row r="363" spans="1:10" s="132" customFormat="1" ht="13.8" x14ac:dyDescent="0.25">
      <c r="A363" s="129"/>
      <c r="B363" s="129"/>
      <c r="C363" s="172"/>
      <c r="D363" s="173"/>
      <c r="E363" s="131"/>
      <c r="F363" s="293"/>
      <c r="G363" s="293"/>
      <c r="H363" s="293"/>
      <c r="I363" s="252"/>
      <c r="J363" s="252"/>
    </row>
    <row r="364" spans="1:10" ht="13.8" x14ac:dyDescent="0.25">
      <c r="B364" s="1"/>
      <c r="C364" s="207"/>
      <c r="D364" s="202" t="s">
        <v>223</v>
      </c>
      <c r="E364" s="116"/>
      <c r="F364" s="285"/>
      <c r="G364" s="285"/>
      <c r="H364" s="285"/>
      <c r="I364" s="257"/>
      <c r="J364" s="257"/>
    </row>
    <row r="365" spans="1:10" ht="14.25" customHeight="1" x14ac:dyDescent="0.25">
      <c r="B365" s="1"/>
      <c r="C365" s="207"/>
      <c r="D365" s="238" t="s">
        <v>244</v>
      </c>
      <c r="E365" s="118"/>
      <c r="F365" s="286"/>
      <c r="G365" s="286"/>
      <c r="H365" s="286"/>
      <c r="I365" s="258"/>
      <c r="J365" s="258"/>
    </row>
    <row r="366" spans="1:10" ht="27.6" x14ac:dyDescent="0.25">
      <c r="B366" s="1"/>
      <c r="C366" s="207"/>
      <c r="D366" s="272" t="s">
        <v>330</v>
      </c>
      <c r="E366" s="197">
        <f t="shared" ref="E366:H368" si="48">SUM(E367)</f>
        <v>0</v>
      </c>
      <c r="F366" s="280">
        <f t="shared" si="48"/>
        <v>250000</v>
      </c>
      <c r="G366" s="280">
        <f t="shared" si="48"/>
        <v>200000</v>
      </c>
      <c r="H366" s="280">
        <f t="shared" si="48"/>
        <v>200000</v>
      </c>
      <c r="I366" s="332">
        <f>AVERAGE(G366/F366*100)</f>
        <v>80</v>
      </c>
      <c r="J366" s="332">
        <f>AVERAGE(H366/G366*100)</f>
        <v>100</v>
      </c>
    </row>
    <row r="367" spans="1:10" s="150" customFormat="1" ht="13.8" x14ac:dyDescent="0.25">
      <c r="A367" s="125" t="s">
        <v>308</v>
      </c>
      <c r="B367" s="121"/>
      <c r="C367" s="163">
        <v>32</v>
      </c>
      <c r="D367" s="164" t="s">
        <v>180</v>
      </c>
      <c r="E367" s="123">
        <f t="shared" si="48"/>
        <v>0</v>
      </c>
      <c r="F367" s="288">
        <f t="shared" si="48"/>
        <v>250000</v>
      </c>
      <c r="G367" s="288">
        <v>200000</v>
      </c>
      <c r="H367" s="288">
        <v>200000</v>
      </c>
      <c r="I367" s="330">
        <f t="shared" ref="I367:J369" si="49">AVERAGE(G367/F367*100)</f>
        <v>80</v>
      </c>
      <c r="J367" s="330">
        <f t="shared" si="49"/>
        <v>100</v>
      </c>
    </row>
    <row r="368" spans="1:10" s="150" customFormat="1" ht="13.8" x14ac:dyDescent="0.25">
      <c r="A368" s="125" t="s">
        <v>308</v>
      </c>
      <c r="B368" s="121"/>
      <c r="C368" s="163">
        <v>323</v>
      </c>
      <c r="D368" s="164" t="s">
        <v>56</v>
      </c>
      <c r="E368" s="123">
        <f t="shared" si="48"/>
        <v>0</v>
      </c>
      <c r="F368" s="288">
        <f t="shared" si="48"/>
        <v>250000</v>
      </c>
      <c r="G368" s="288"/>
      <c r="H368" s="288"/>
      <c r="I368" s="330">
        <f t="shared" si="49"/>
        <v>0</v>
      </c>
      <c r="J368" s="330"/>
    </row>
    <row r="369" spans="1:10" s="132" customFormat="1" ht="13.8" hidden="1" x14ac:dyDescent="0.25">
      <c r="A369" s="125" t="s">
        <v>308</v>
      </c>
      <c r="B369" s="125">
        <v>87</v>
      </c>
      <c r="C369" s="165">
        <v>3232</v>
      </c>
      <c r="D369" s="166" t="s">
        <v>242</v>
      </c>
      <c r="E369" s="127">
        <v>0</v>
      </c>
      <c r="F369" s="291">
        <v>250000</v>
      </c>
      <c r="G369" s="291"/>
      <c r="H369" s="291"/>
      <c r="I369" s="330">
        <f t="shared" si="49"/>
        <v>0</v>
      </c>
      <c r="J369" s="330"/>
    </row>
    <row r="370" spans="1:10" s="132" customFormat="1" ht="14.4" thickBot="1" x14ac:dyDescent="0.3">
      <c r="A370" s="129"/>
      <c r="B370" s="129"/>
      <c r="C370" s="172"/>
      <c r="D370" s="173"/>
      <c r="E370" s="131"/>
      <c r="F370" s="293"/>
      <c r="G370" s="293"/>
      <c r="H370" s="293"/>
      <c r="I370" s="252"/>
      <c r="J370" s="252"/>
    </row>
    <row r="371" spans="1:10" s="99" customFormat="1" ht="16.2" thickBot="1" x14ac:dyDescent="0.35">
      <c r="A371" s="885" t="s">
        <v>245</v>
      </c>
      <c r="B371" s="886"/>
      <c r="C371" s="886"/>
      <c r="D371" s="886"/>
      <c r="E371" s="111">
        <f>SUM(E375+E382+E389+E399+E406)</f>
        <v>1030000</v>
      </c>
      <c r="F371" s="283">
        <f>SUM(F375+F382+F389+F399+F406)</f>
        <v>2250000</v>
      </c>
      <c r="G371" s="283">
        <f>SUM(G375+G382+G389+G399+G406)</f>
        <v>1650000</v>
      </c>
      <c r="H371" s="283">
        <f>SUM(H375+H382+H389+H399+H406)</f>
        <v>1900000</v>
      </c>
      <c r="I371" s="248">
        <f>AVERAGE(G371/F371*100)</f>
        <v>73.333333333333329</v>
      </c>
      <c r="J371" s="248">
        <f>AVERAGE(H371/G371*100)</f>
        <v>115.15151515151516</v>
      </c>
    </row>
    <row r="372" spans="1:10" s="99" customFormat="1" ht="15.6" x14ac:dyDescent="0.3">
      <c r="A372" s="100"/>
      <c r="B372" s="100"/>
      <c r="C372" s="100"/>
      <c r="D372" s="100"/>
      <c r="E372" s="199"/>
      <c r="F372" s="309"/>
      <c r="G372" s="309"/>
      <c r="H372" s="309"/>
      <c r="I372" s="247"/>
      <c r="J372" s="247"/>
    </row>
    <row r="373" spans="1:10" s="1" customFormat="1" ht="27.6" x14ac:dyDescent="0.25">
      <c r="C373" s="207"/>
      <c r="D373" s="202" t="s">
        <v>246</v>
      </c>
      <c r="E373" s="116"/>
      <c r="F373" s="285"/>
      <c r="G373" s="285"/>
      <c r="H373" s="285"/>
      <c r="I373" s="257"/>
      <c r="J373" s="257"/>
    </row>
    <row r="374" spans="1:10" s="1" customFormat="1" ht="13.8" x14ac:dyDescent="0.25">
      <c r="C374" s="207"/>
      <c r="D374" s="238" t="s">
        <v>247</v>
      </c>
      <c r="E374" s="118"/>
      <c r="F374" s="286"/>
      <c r="G374" s="286"/>
      <c r="H374" s="286"/>
      <c r="I374" s="258"/>
      <c r="J374" s="258"/>
    </row>
    <row r="375" spans="1:10" s="1" customFormat="1" ht="27.6" x14ac:dyDescent="0.25">
      <c r="C375" s="207"/>
      <c r="D375" s="272" t="s">
        <v>331</v>
      </c>
      <c r="E375" s="197">
        <f t="shared" ref="E375:H377" si="50">SUM(E376)</f>
        <v>70000</v>
      </c>
      <c r="F375" s="280">
        <f t="shared" si="50"/>
        <v>50000</v>
      </c>
      <c r="G375" s="280">
        <f t="shared" si="50"/>
        <v>100000</v>
      </c>
      <c r="H375" s="280">
        <f t="shared" si="50"/>
        <v>150000</v>
      </c>
      <c r="I375" s="332">
        <f>AVERAGE(G375/F375*100)</f>
        <v>200</v>
      </c>
      <c r="J375" s="332">
        <f>AVERAGE(H375/G375*100)</f>
        <v>150</v>
      </c>
    </row>
    <row r="376" spans="1:10" s="150" customFormat="1" ht="13.8" x14ac:dyDescent="0.25">
      <c r="A376" s="125" t="s">
        <v>293</v>
      </c>
      <c r="B376" s="121"/>
      <c r="C376" s="163">
        <v>41</v>
      </c>
      <c r="D376" s="164" t="s">
        <v>248</v>
      </c>
      <c r="E376" s="123">
        <f t="shared" si="50"/>
        <v>70000</v>
      </c>
      <c r="F376" s="288">
        <f t="shared" si="50"/>
        <v>50000</v>
      </c>
      <c r="G376" s="288">
        <v>100000</v>
      </c>
      <c r="H376" s="288">
        <v>150000</v>
      </c>
      <c r="I376" s="330">
        <f t="shared" ref="I376:J378" si="51">AVERAGE(G376/F376*100)</f>
        <v>200</v>
      </c>
      <c r="J376" s="330">
        <f t="shared" si="51"/>
        <v>150</v>
      </c>
    </row>
    <row r="377" spans="1:10" s="132" customFormat="1" ht="13.8" x14ac:dyDescent="0.25">
      <c r="A377" s="125" t="s">
        <v>293</v>
      </c>
      <c r="B377" s="121"/>
      <c r="C377" s="163">
        <v>411</v>
      </c>
      <c r="D377" s="164" t="s">
        <v>95</v>
      </c>
      <c r="E377" s="123">
        <f t="shared" si="50"/>
        <v>70000</v>
      </c>
      <c r="F377" s="288">
        <f t="shared" si="50"/>
        <v>50000</v>
      </c>
      <c r="G377" s="288"/>
      <c r="H377" s="288"/>
      <c r="I377" s="330">
        <f t="shared" si="51"/>
        <v>0</v>
      </c>
      <c r="J377" s="330"/>
    </row>
    <row r="378" spans="1:10" s="132" customFormat="1" ht="13.8" hidden="1" x14ac:dyDescent="0.25">
      <c r="A378" s="125" t="s">
        <v>293</v>
      </c>
      <c r="B378" s="125">
        <v>88</v>
      </c>
      <c r="C378" s="165">
        <v>4111</v>
      </c>
      <c r="D378" s="166" t="s">
        <v>40</v>
      </c>
      <c r="E378" s="127">
        <v>70000</v>
      </c>
      <c r="F378" s="291">
        <v>50000</v>
      </c>
      <c r="G378" s="291"/>
      <c r="H378" s="291"/>
      <c r="I378" s="330">
        <f t="shared" si="51"/>
        <v>0</v>
      </c>
      <c r="J378" s="330"/>
    </row>
    <row r="379" spans="1:10" s="99" customFormat="1" ht="15" x14ac:dyDescent="0.25">
      <c r="A379" s="128"/>
      <c r="C379" s="194"/>
      <c r="D379" s="218"/>
      <c r="E379" s="219"/>
      <c r="F379" s="315"/>
      <c r="G379" s="315"/>
      <c r="H379" s="315"/>
      <c r="I379" s="247"/>
      <c r="J379" s="247"/>
    </row>
    <row r="380" spans="1:10" s="1" customFormat="1" ht="13.8" x14ac:dyDescent="0.25">
      <c r="A380" s="124"/>
      <c r="C380" s="207"/>
      <c r="D380" s="202" t="s">
        <v>249</v>
      </c>
      <c r="E380" s="116"/>
      <c r="F380" s="285"/>
      <c r="G380" s="285"/>
      <c r="H380" s="285"/>
      <c r="I380" s="257"/>
      <c r="J380" s="257"/>
    </row>
    <row r="381" spans="1:10" s="1" customFormat="1" ht="13.8" x14ac:dyDescent="0.25">
      <c r="A381" s="124"/>
      <c r="C381" s="207"/>
      <c r="D381" s="238" t="s">
        <v>243</v>
      </c>
      <c r="E381" s="215"/>
      <c r="F381" s="314"/>
      <c r="G381" s="314"/>
      <c r="H381" s="314"/>
      <c r="I381" s="258"/>
      <c r="J381" s="258"/>
    </row>
    <row r="382" spans="1:10" s="1" customFormat="1" ht="13.8" x14ac:dyDescent="0.25">
      <c r="A382" s="124"/>
      <c r="C382" s="207"/>
      <c r="D382" s="273" t="s">
        <v>332</v>
      </c>
      <c r="E382" s="197">
        <f t="shared" ref="E382:H384" si="52">SUM(E383)</f>
        <v>700000</v>
      </c>
      <c r="F382" s="280">
        <f t="shared" si="52"/>
        <v>300000</v>
      </c>
      <c r="G382" s="280">
        <f t="shared" si="52"/>
        <v>300000</v>
      </c>
      <c r="H382" s="280">
        <f t="shared" si="52"/>
        <v>500000</v>
      </c>
      <c r="I382" s="332">
        <f>AVERAGE(G382/F382*100)</f>
        <v>100</v>
      </c>
      <c r="J382" s="332">
        <f>AVERAGE(H382/G382*100)</f>
        <v>166.66666666666669</v>
      </c>
    </row>
    <row r="383" spans="1:10" s="132" customFormat="1" ht="13.8" x14ac:dyDescent="0.25">
      <c r="A383" s="125" t="s">
        <v>311</v>
      </c>
      <c r="B383" s="121"/>
      <c r="C383" s="163">
        <v>42</v>
      </c>
      <c r="D383" s="164" t="s">
        <v>250</v>
      </c>
      <c r="E383" s="123">
        <f t="shared" si="52"/>
        <v>700000</v>
      </c>
      <c r="F383" s="288">
        <f t="shared" si="52"/>
        <v>300000</v>
      </c>
      <c r="G383" s="288">
        <v>300000</v>
      </c>
      <c r="H383" s="288">
        <v>500000</v>
      </c>
      <c r="I383" s="330">
        <f t="shared" ref="I383:J385" si="53">AVERAGE(G383/F383*100)</f>
        <v>100</v>
      </c>
      <c r="J383" s="330">
        <f t="shared" si="53"/>
        <v>166.66666666666669</v>
      </c>
    </row>
    <row r="384" spans="1:10" s="132" customFormat="1" ht="13.8" x14ac:dyDescent="0.25">
      <c r="A384" s="125" t="s">
        <v>311</v>
      </c>
      <c r="B384" s="121"/>
      <c r="C384" s="163">
        <v>421</v>
      </c>
      <c r="D384" s="164" t="s">
        <v>97</v>
      </c>
      <c r="E384" s="123">
        <f t="shared" si="52"/>
        <v>700000</v>
      </c>
      <c r="F384" s="288">
        <f t="shared" si="52"/>
        <v>300000</v>
      </c>
      <c r="G384" s="288"/>
      <c r="H384" s="288"/>
      <c r="I384" s="330">
        <f t="shared" si="53"/>
        <v>0</v>
      </c>
      <c r="J384" s="330"/>
    </row>
    <row r="385" spans="1:10" s="132" customFormat="1" ht="13.8" hidden="1" x14ac:dyDescent="0.25">
      <c r="A385" s="125" t="s">
        <v>311</v>
      </c>
      <c r="B385" s="125">
        <v>89</v>
      </c>
      <c r="C385" s="165">
        <v>4214</v>
      </c>
      <c r="D385" s="166" t="s">
        <v>251</v>
      </c>
      <c r="E385" s="127">
        <v>700000</v>
      </c>
      <c r="F385" s="291">
        <v>300000</v>
      </c>
      <c r="G385" s="291"/>
      <c r="H385" s="291"/>
      <c r="I385" s="330">
        <f t="shared" si="53"/>
        <v>0</v>
      </c>
      <c r="J385" s="330"/>
    </row>
    <row r="386" spans="1:10" s="132" customFormat="1" ht="13.8" x14ac:dyDescent="0.25">
      <c r="A386" s="129"/>
      <c r="B386" s="129"/>
      <c r="C386" s="172"/>
      <c r="D386" s="173"/>
      <c r="E386" s="131"/>
      <c r="F386" s="293"/>
      <c r="G386" s="293"/>
      <c r="H386" s="293"/>
      <c r="I386" s="252"/>
      <c r="J386" s="252"/>
    </row>
    <row r="387" spans="1:10" s="1" customFormat="1" ht="27.6" x14ac:dyDescent="0.25">
      <c r="A387" s="124"/>
      <c r="C387" s="207"/>
      <c r="D387" s="202" t="s">
        <v>246</v>
      </c>
      <c r="E387" s="116"/>
      <c r="F387" s="285"/>
      <c r="G387" s="285"/>
      <c r="H387" s="285"/>
      <c r="I387" s="257"/>
      <c r="J387" s="257"/>
    </row>
    <row r="388" spans="1:10" s="1" customFormat="1" ht="13.8" x14ac:dyDescent="0.25">
      <c r="A388" s="124"/>
      <c r="C388" s="207"/>
      <c r="D388" s="238" t="s">
        <v>195</v>
      </c>
      <c r="E388" s="215"/>
      <c r="F388" s="314"/>
      <c r="G388" s="314"/>
      <c r="H388" s="286"/>
      <c r="I388" s="258"/>
      <c r="J388" s="258"/>
    </row>
    <row r="389" spans="1:10" s="1" customFormat="1" ht="13.8" x14ac:dyDescent="0.25">
      <c r="A389" s="124"/>
      <c r="C389" s="207"/>
      <c r="D389" s="273" t="s">
        <v>333</v>
      </c>
      <c r="E389" s="197">
        <f>SUM(E390+E393)</f>
        <v>110000</v>
      </c>
      <c r="F389" s="280">
        <f>SUM(F390+F393)</f>
        <v>100000</v>
      </c>
      <c r="G389" s="280">
        <f>SUM(G390+G393)</f>
        <v>50000</v>
      </c>
      <c r="H389" s="280">
        <f>SUM(H390+H393)</f>
        <v>50000</v>
      </c>
      <c r="I389" s="332">
        <f>AVERAGE(G389/F389*100)</f>
        <v>50</v>
      </c>
      <c r="J389" s="332">
        <f>AVERAGE(H389/G389*100)</f>
        <v>100</v>
      </c>
    </row>
    <row r="390" spans="1:10" s="132" customFormat="1" ht="13.8" x14ac:dyDescent="0.25">
      <c r="A390" s="125" t="s">
        <v>312</v>
      </c>
      <c r="B390" s="121"/>
      <c r="C390" s="163">
        <v>38</v>
      </c>
      <c r="D390" s="164" t="s">
        <v>128</v>
      </c>
      <c r="E390" s="123">
        <f t="shared" ref="E390:H394" si="54">SUM(E391)</f>
        <v>10000</v>
      </c>
      <c r="F390" s="288">
        <f t="shared" si="54"/>
        <v>100000</v>
      </c>
      <c r="G390" s="288">
        <v>50000</v>
      </c>
      <c r="H390" s="288">
        <v>50000</v>
      </c>
      <c r="I390" s="330">
        <f>AVERAGE(G390/F390*100)</f>
        <v>50</v>
      </c>
      <c r="J390" s="330">
        <f>AVERAGE(H390/G390*100)</f>
        <v>100</v>
      </c>
    </row>
    <row r="391" spans="1:10" s="132" customFormat="1" ht="13.8" x14ac:dyDescent="0.25">
      <c r="A391" s="125" t="s">
        <v>312</v>
      </c>
      <c r="B391" s="121"/>
      <c r="C391" s="163">
        <v>386</v>
      </c>
      <c r="D391" s="164" t="s">
        <v>262</v>
      </c>
      <c r="E391" s="123">
        <f t="shared" si="54"/>
        <v>10000</v>
      </c>
      <c r="F391" s="288">
        <f t="shared" si="54"/>
        <v>100000</v>
      </c>
      <c r="G391" s="288"/>
      <c r="H391" s="288"/>
      <c r="I391" s="330">
        <f>AVERAGE(G391/F391*100)</f>
        <v>0</v>
      </c>
      <c r="J391" s="330"/>
    </row>
    <row r="392" spans="1:10" s="132" customFormat="1" ht="13.8" hidden="1" x14ac:dyDescent="0.25">
      <c r="A392" s="125" t="s">
        <v>312</v>
      </c>
      <c r="B392" s="125">
        <v>90</v>
      </c>
      <c r="C392" s="165">
        <v>3862</v>
      </c>
      <c r="D392" s="166" t="s">
        <v>263</v>
      </c>
      <c r="E392" s="127">
        <v>10000</v>
      </c>
      <c r="F392" s="291">
        <v>100000</v>
      </c>
      <c r="G392" s="291"/>
      <c r="H392" s="291"/>
      <c r="I392" s="330">
        <f>AVERAGE(G392/F392*100)</f>
        <v>0</v>
      </c>
      <c r="J392" s="330"/>
    </row>
    <row r="393" spans="1:10" s="132" customFormat="1" ht="13.8" x14ac:dyDescent="0.25">
      <c r="A393" s="125" t="s">
        <v>312</v>
      </c>
      <c r="B393" s="121"/>
      <c r="C393" s="163">
        <v>42</v>
      </c>
      <c r="D393" s="164" t="s">
        <v>250</v>
      </c>
      <c r="E393" s="123">
        <f t="shared" si="54"/>
        <v>100000</v>
      </c>
      <c r="F393" s="288">
        <f t="shared" si="54"/>
        <v>0</v>
      </c>
      <c r="G393" s="288">
        <f t="shared" si="54"/>
        <v>0</v>
      </c>
      <c r="H393" s="288">
        <f t="shared" si="54"/>
        <v>0</v>
      </c>
      <c r="I393" s="330">
        <v>0</v>
      </c>
      <c r="J393" s="330">
        <v>0</v>
      </c>
    </row>
    <row r="394" spans="1:10" s="132" customFormat="1" ht="13.8" x14ac:dyDescent="0.25">
      <c r="A394" s="125" t="s">
        <v>312</v>
      </c>
      <c r="B394" s="121"/>
      <c r="C394" s="163">
        <v>421</v>
      </c>
      <c r="D394" s="164" t="s">
        <v>97</v>
      </c>
      <c r="E394" s="123">
        <f t="shared" si="54"/>
        <v>100000</v>
      </c>
      <c r="F394" s="288">
        <f t="shared" si="54"/>
        <v>0</v>
      </c>
      <c r="G394" s="288"/>
      <c r="H394" s="288"/>
      <c r="I394" s="330"/>
      <c r="J394" s="330"/>
    </row>
    <row r="395" spans="1:10" s="132" customFormat="1" ht="13.8" hidden="1" x14ac:dyDescent="0.25">
      <c r="A395" s="125" t="s">
        <v>312</v>
      </c>
      <c r="B395" s="125">
        <v>91</v>
      </c>
      <c r="C395" s="165">
        <v>4214</v>
      </c>
      <c r="D395" s="166" t="s">
        <v>251</v>
      </c>
      <c r="E395" s="127">
        <v>100000</v>
      </c>
      <c r="F395" s="291">
        <v>0</v>
      </c>
      <c r="G395" s="291"/>
      <c r="H395" s="291"/>
      <c r="I395" s="330"/>
      <c r="J395" s="330"/>
    </row>
    <row r="396" spans="1:10" s="132" customFormat="1" ht="13.8" x14ac:dyDescent="0.25">
      <c r="A396" s="129"/>
      <c r="B396" s="129"/>
      <c r="C396" s="172"/>
      <c r="D396" s="173"/>
      <c r="E396" s="131"/>
      <c r="F396" s="293"/>
      <c r="G396" s="293"/>
      <c r="H396" s="293"/>
      <c r="I396" s="252"/>
      <c r="J396" s="252"/>
    </row>
    <row r="397" spans="1:10" s="1" customFormat="1" ht="27.6" x14ac:dyDescent="0.25">
      <c r="C397" s="207"/>
      <c r="D397" s="202" t="s">
        <v>246</v>
      </c>
      <c r="E397" s="116"/>
      <c r="F397" s="285"/>
      <c r="G397" s="285"/>
      <c r="H397" s="285"/>
      <c r="I397" s="249"/>
      <c r="J397" s="249"/>
    </row>
    <row r="398" spans="1:10" s="1" customFormat="1" ht="13.8" x14ac:dyDescent="0.25">
      <c r="C398" s="207"/>
      <c r="D398" s="238" t="s">
        <v>252</v>
      </c>
      <c r="E398" s="118"/>
      <c r="F398" s="286"/>
      <c r="G398" s="286"/>
      <c r="H398" s="286"/>
      <c r="I398" s="250"/>
      <c r="J398" s="250"/>
    </row>
    <row r="399" spans="1:10" s="1" customFormat="1" ht="13.8" x14ac:dyDescent="0.25">
      <c r="C399" s="207"/>
      <c r="D399" s="272" t="s">
        <v>334</v>
      </c>
      <c r="E399" s="197">
        <f t="shared" ref="E399:H401" si="55">SUM(E400)</f>
        <v>50000</v>
      </c>
      <c r="F399" s="280">
        <f t="shared" si="55"/>
        <v>1000000</v>
      </c>
      <c r="G399" s="280">
        <f t="shared" si="55"/>
        <v>500000</v>
      </c>
      <c r="H399" s="280">
        <f t="shared" si="55"/>
        <v>0</v>
      </c>
      <c r="I399" s="332">
        <f>AVERAGE(G399/F399*100)</f>
        <v>50</v>
      </c>
      <c r="J399" s="332">
        <f>AVERAGE(H399/G399*100)</f>
        <v>0</v>
      </c>
    </row>
    <row r="400" spans="1:10" s="132" customFormat="1" ht="13.8" x14ac:dyDescent="0.25">
      <c r="A400" s="125" t="s">
        <v>348</v>
      </c>
      <c r="B400" s="121"/>
      <c r="C400" s="163">
        <v>42</v>
      </c>
      <c r="D400" s="164" t="s">
        <v>250</v>
      </c>
      <c r="E400" s="123">
        <f t="shared" si="55"/>
        <v>50000</v>
      </c>
      <c r="F400" s="288">
        <f t="shared" si="55"/>
        <v>1000000</v>
      </c>
      <c r="G400" s="288">
        <v>500000</v>
      </c>
      <c r="H400" s="288">
        <f t="shared" si="55"/>
        <v>0</v>
      </c>
      <c r="I400" s="330">
        <f t="shared" ref="I400:J402" si="56">AVERAGE(G400/F400*100)</f>
        <v>50</v>
      </c>
      <c r="J400" s="330">
        <f t="shared" si="56"/>
        <v>0</v>
      </c>
    </row>
    <row r="401" spans="1:10" s="132" customFormat="1" ht="13.8" x14ac:dyDescent="0.25">
      <c r="A401" s="125" t="s">
        <v>348</v>
      </c>
      <c r="B401" s="121"/>
      <c r="C401" s="163">
        <v>421</v>
      </c>
      <c r="D401" s="164" t="s">
        <v>97</v>
      </c>
      <c r="E401" s="123">
        <f t="shared" si="55"/>
        <v>50000</v>
      </c>
      <c r="F401" s="288">
        <f t="shared" si="55"/>
        <v>1000000</v>
      </c>
      <c r="G401" s="288"/>
      <c r="H401" s="288"/>
      <c r="I401" s="330">
        <f t="shared" si="56"/>
        <v>0</v>
      </c>
      <c r="J401" s="330"/>
    </row>
    <row r="402" spans="1:10" s="132" customFormat="1" ht="13.8" hidden="1" x14ac:dyDescent="0.25">
      <c r="A402" s="125" t="s">
        <v>348</v>
      </c>
      <c r="B402" s="125">
        <v>92</v>
      </c>
      <c r="C402" s="165">
        <v>4214</v>
      </c>
      <c r="D402" s="166" t="s">
        <v>251</v>
      </c>
      <c r="E402" s="127">
        <v>50000</v>
      </c>
      <c r="F402" s="291">
        <v>1000000</v>
      </c>
      <c r="G402" s="291"/>
      <c r="H402" s="291"/>
      <c r="I402" s="330">
        <f t="shared" si="56"/>
        <v>0</v>
      </c>
      <c r="J402" s="330"/>
    </row>
    <row r="403" spans="1:10" s="132" customFormat="1" ht="13.8" x14ac:dyDescent="0.25">
      <c r="A403" s="129"/>
      <c r="B403" s="129"/>
      <c r="C403" s="172"/>
      <c r="D403" s="173"/>
      <c r="E403" s="131"/>
      <c r="F403" s="293"/>
      <c r="G403" s="293"/>
      <c r="H403" s="293"/>
      <c r="I403" s="252"/>
      <c r="J403" s="252"/>
    </row>
    <row r="404" spans="1:10" s="1" customFormat="1" ht="27.6" x14ac:dyDescent="0.25">
      <c r="C404" s="207"/>
      <c r="D404" s="202" t="s">
        <v>261</v>
      </c>
      <c r="E404" s="116"/>
      <c r="F404" s="285"/>
      <c r="G404" s="285"/>
      <c r="H404" s="285"/>
      <c r="I404" s="249"/>
      <c r="J404" s="249"/>
    </row>
    <row r="405" spans="1:10" s="1" customFormat="1" ht="26.4" x14ac:dyDescent="0.25">
      <c r="C405" s="207"/>
      <c r="D405" s="237" t="s">
        <v>253</v>
      </c>
      <c r="E405" s="118"/>
      <c r="F405" s="286"/>
      <c r="G405" s="286"/>
      <c r="H405" s="286"/>
      <c r="I405" s="250"/>
      <c r="J405" s="250"/>
    </row>
    <row r="406" spans="1:10" s="1" customFormat="1" ht="13.8" x14ac:dyDescent="0.25">
      <c r="C406" s="207"/>
      <c r="D406" s="273" t="s">
        <v>335</v>
      </c>
      <c r="E406" s="197">
        <f>SUM(E407)</f>
        <v>100000</v>
      </c>
      <c r="F406" s="280">
        <f>SUM(F407+F410)</f>
        <v>800000</v>
      </c>
      <c r="G406" s="280">
        <f>SUM(G407+G410)</f>
        <v>700000</v>
      </c>
      <c r="H406" s="280">
        <f>SUM(H407+H410)</f>
        <v>1200000</v>
      </c>
      <c r="I406" s="332">
        <f>AVERAGE(G406/F406*100)</f>
        <v>87.5</v>
      </c>
      <c r="J406" s="332">
        <f>AVERAGE(H406/G406*100)</f>
        <v>171.42857142857142</v>
      </c>
    </row>
    <row r="407" spans="1:10" s="132" customFormat="1" ht="13.8" x14ac:dyDescent="0.25">
      <c r="A407" s="125" t="s">
        <v>349</v>
      </c>
      <c r="B407" s="121"/>
      <c r="C407" s="163">
        <v>42</v>
      </c>
      <c r="D407" s="164" t="s">
        <v>250</v>
      </c>
      <c r="E407" s="123">
        <f>SUM(E408)</f>
        <v>100000</v>
      </c>
      <c r="F407" s="288">
        <f>SUM(F408)</f>
        <v>650000</v>
      </c>
      <c r="G407" s="288">
        <v>500000</v>
      </c>
      <c r="H407" s="288">
        <v>700000</v>
      </c>
      <c r="I407" s="330">
        <f t="shared" ref="I407:J412" si="57">AVERAGE(G407/F407*100)</f>
        <v>76.923076923076934</v>
      </c>
      <c r="J407" s="330">
        <f t="shared" si="57"/>
        <v>140</v>
      </c>
    </row>
    <row r="408" spans="1:10" s="132" customFormat="1" ht="13.8" x14ac:dyDescent="0.25">
      <c r="A408" s="125" t="s">
        <v>349</v>
      </c>
      <c r="B408" s="121"/>
      <c r="C408" s="163">
        <v>421</v>
      </c>
      <c r="D408" s="164" t="s">
        <v>97</v>
      </c>
      <c r="E408" s="123">
        <f>SUM(E409)</f>
        <v>100000</v>
      </c>
      <c r="F408" s="288">
        <f>SUM(F409)</f>
        <v>650000</v>
      </c>
      <c r="G408" s="288"/>
      <c r="H408" s="288"/>
      <c r="I408" s="330">
        <f t="shared" si="57"/>
        <v>0</v>
      </c>
      <c r="J408" s="330"/>
    </row>
    <row r="409" spans="1:10" s="132" customFormat="1" ht="13.8" hidden="1" x14ac:dyDescent="0.25">
      <c r="A409" s="125" t="s">
        <v>349</v>
      </c>
      <c r="B409" s="125">
        <v>93</v>
      </c>
      <c r="C409" s="165">
        <v>4213</v>
      </c>
      <c r="D409" s="166" t="s">
        <v>283</v>
      </c>
      <c r="E409" s="127">
        <v>100000</v>
      </c>
      <c r="F409" s="291">
        <v>650000</v>
      </c>
      <c r="G409" s="291"/>
      <c r="H409" s="291"/>
      <c r="I409" s="330">
        <f t="shared" si="57"/>
        <v>0</v>
      </c>
      <c r="J409" s="330"/>
    </row>
    <row r="410" spans="1:10" s="132" customFormat="1" ht="13.8" x14ac:dyDescent="0.25">
      <c r="A410" s="125" t="s">
        <v>349</v>
      </c>
      <c r="B410" s="121"/>
      <c r="C410" s="163">
        <v>45</v>
      </c>
      <c r="D410" s="164" t="s">
        <v>265</v>
      </c>
      <c r="E410" s="123">
        <f>SUM(E411)</f>
        <v>645000</v>
      </c>
      <c r="F410" s="288">
        <f>SUM(F411)</f>
        <v>150000</v>
      </c>
      <c r="G410" s="288">
        <v>200000</v>
      </c>
      <c r="H410" s="288">
        <v>500000</v>
      </c>
      <c r="I410" s="330">
        <f t="shared" si="57"/>
        <v>133.33333333333331</v>
      </c>
      <c r="J410" s="330">
        <f t="shared" si="57"/>
        <v>250</v>
      </c>
    </row>
    <row r="411" spans="1:10" s="132" customFormat="1" ht="13.8" x14ac:dyDescent="0.25">
      <c r="A411" s="125" t="s">
        <v>349</v>
      </c>
      <c r="B411" s="121"/>
      <c r="C411" s="163">
        <v>451</v>
      </c>
      <c r="D411" s="164" t="s">
        <v>103</v>
      </c>
      <c r="E411" s="123">
        <f>SUM(E412)</f>
        <v>645000</v>
      </c>
      <c r="F411" s="288">
        <f>SUM(F412)</f>
        <v>150000</v>
      </c>
      <c r="G411" s="288"/>
      <c r="H411" s="288"/>
      <c r="I411" s="330">
        <f t="shared" si="57"/>
        <v>0</v>
      </c>
      <c r="J411" s="330"/>
    </row>
    <row r="412" spans="1:10" s="132" customFormat="1" ht="13.8" hidden="1" x14ac:dyDescent="0.25">
      <c r="A412" s="125" t="s">
        <v>349</v>
      </c>
      <c r="B412" s="125">
        <v>94</v>
      </c>
      <c r="C412" s="165">
        <v>4511</v>
      </c>
      <c r="D412" s="166" t="s">
        <v>103</v>
      </c>
      <c r="E412" s="127">
        <v>645000</v>
      </c>
      <c r="F412" s="291">
        <v>150000</v>
      </c>
      <c r="G412" s="291"/>
      <c r="H412" s="291"/>
      <c r="I412" s="330">
        <f t="shared" si="57"/>
        <v>0</v>
      </c>
      <c r="J412" s="330"/>
    </row>
    <row r="413" spans="1:10" s="132" customFormat="1" ht="14.4" thickBot="1" x14ac:dyDescent="0.3">
      <c r="A413" s="129"/>
      <c r="B413" s="129"/>
      <c r="C413" s="172"/>
      <c r="D413" s="173"/>
      <c r="E413" s="131"/>
      <c r="F413" s="293"/>
      <c r="G413" s="293"/>
      <c r="H413" s="293"/>
      <c r="I413" s="252"/>
      <c r="J413" s="252"/>
    </row>
    <row r="414" spans="1:10" s="112" customFormat="1" ht="16.2" thickBot="1" x14ac:dyDescent="0.35">
      <c r="A414" s="885" t="s">
        <v>284</v>
      </c>
      <c r="B414" s="886"/>
      <c r="C414" s="886"/>
      <c r="D414" s="886"/>
      <c r="E414" s="221">
        <f>SUM(E418+E431+E438+E458+E465+E472)</f>
        <v>1645000</v>
      </c>
      <c r="F414" s="316">
        <f>SUM(F418+F431+F438+F448+F458+F465+F472)</f>
        <v>3510000</v>
      </c>
      <c r="G414" s="316">
        <f>SUM(G418+G431+G438+G448+G458+G465+G472)</f>
        <v>1380000</v>
      </c>
      <c r="H414" s="316">
        <f>SUM(H418+H431+H438+H448+H458+H465+H472)</f>
        <v>1570000</v>
      </c>
      <c r="I414" s="248">
        <f>AVERAGE(G414/F414*100)</f>
        <v>39.316239316239319</v>
      </c>
      <c r="J414" s="248">
        <f>AVERAGE(H414/G414*100)</f>
        <v>113.76811594202898</v>
      </c>
    </row>
    <row r="415" spans="1:10" s="124" customFormat="1" ht="13.8" x14ac:dyDescent="0.25">
      <c r="C415" s="222"/>
      <c r="D415" s="212"/>
      <c r="E415" s="195"/>
      <c r="F415" s="306"/>
      <c r="G415" s="306"/>
      <c r="H415" s="306"/>
      <c r="I415" s="247"/>
      <c r="J415" s="247"/>
    </row>
    <row r="416" spans="1:10" s="99" customFormat="1" ht="27.6" x14ac:dyDescent="0.25">
      <c r="A416" s="128"/>
      <c r="C416" s="194"/>
      <c r="D416" s="202" t="s">
        <v>246</v>
      </c>
      <c r="E416" s="116"/>
      <c r="F416" s="285"/>
      <c r="G416" s="285"/>
      <c r="H416" s="285"/>
      <c r="I416" s="257"/>
      <c r="J416" s="257"/>
    </row>
    <row r="417" spans="1:10" s="1" customFormat="1" ht="14.25" customHeight="1" x14ac:dyDescent="0.25">
      <c r="C417" s="207"/>
      <c r="D417" s="238" t="s">
        <v>195</v>
      </c>
      <c r="E417" s="215"/>
      <c r="F417" s="286"/>
      <c r="G417" s="314"/>
      <c r="H417" s="314"/>
      <c r="I417" s="258"/>
      <c r="J417" s="258"/>
    </row>
    <row r="418" spans="1:10" s="1" customFormat="1" ht="13.8" x14ac:dyDescent="0.25">
      <c r="C418" s="207"/>
      <c r="D418" s="273" t="s">
        <v>336</v>
      </c>
      <c r="E418" s="197">
        <f>SUM(E419+E424)</f>
        <v>0</v>
      </c>
      <c r="F418" s="280">
        <f>SUM(F419+F424)</f>
        <v>160000</v>
      </c>
      <c r="G418" s="280">
        <f>SUM(G419+G424)</f>
        <v>150000</v>
      </c>
      <c r="H418" s="280">
        <f>SUM(H419+H424)</f>
        <v>100000</v>
      </c>
      <c r="I418" s="332">
        <f>AVERAGE(G418/F418*100)</f>
        <v>93.75</v>
      </c>
      <c r="J418" s="332">
        <f>AVERAGE(H418/G418*100)</f>
        <v>66.666666666666657</v>
      </c>
    </row>
    <row r="419" spans="1:10" s="132" customFormat="1" ht="13.8" x14ac:dyDescent="0.25">
      <c r="A419" s="125" t="s">
        <v>313</v>
      </c>
      <c r="B419" s="121"/>
      <c r="C419" s="163">
        <v>32</v>
      </c>
      <c r="D419" s="164" t="s">
        <v>47</v>
      </c>
      <c r="E419" s="123">
        <f>SUM(E420+E422)</f>
        <v>0</v>
      </c>
      <c r="F419" s="288">
        <f>SUM(F420+F422)</f>
        <v>85000</v>
      </c>
      <c r="G419" s="288">
        <v>50000</v>
      </c>
      <c r="H419" s="288">
        <v>50000</v>
      </c>
      <c r="I419" s="330">
        <f t="shared" ref="I419:J426" si="58">AVERAGE(G419/F419*100)</f>
        <v>58.82352941176471</v>
      </c>
      <c r="J419" s="330">
        <f t="shared" si="58"/>
        <v>100</v>
      </c>
    </row>
    <row r="420" spans="1:10" s="132" customFormat="1" ht="13.8" x14ac:dyDescent="0.25">
      <c r="A420" s="125" t="s">
        <v>313</v>
      </c>
      <c r="B420" s="121"/>
      <c r="C420" s="163">
        <v>322</v>
      </c>
      <c r="D420" s="164" t="s">
        <v>52</v>
      </c>
      <c r="E420" s="123">
        <f>SUM(E421)</f>
        <v>0</v>
      </c>
      <c r="F420" s="288">
        <f>SUM(F421)</f>
        <v>15000</v>
      </c>
      <c r="G420" s="288"/>
      <c r="H420" s="288"/>
      <c r="I420" s="330">
        <f t="shared" si="58"/>
        <v>0</v>
      </c>
      <c r="J420" s="330"/>
    </row>
    <row r="421" spans="1:10" s="132" customFormat="1" ht="13.8" hidden="1" x14ac:dyDescent="0.25">
      <c r="A421" s="125" t="s">
        <v>313</v>
      </c>
      <c r="B421" s="234">
        <v>95</v>
      </c>
      <c r="C421" s="165">
        <v>3224</v>
      </c>
      <c r="D421" s="166" t="s">
        <v>189</v>
      </c>
      <c r="E421" s="223">
        <v>0</v>
      </c>
      <c r="F421" s="291">
        <v>15000</v>
      </c>
      <c r="G421" s="291"/>
      <c r="H421" s="291"/>
      <c r="I421" s="330">
        <f t="shared" si="58"/>
        <v>0</v>
      </c>
      <c r="J421" s="330"/>
    </row>
    <row r="422" spans="1:10" s="132" customFormat="1" ht="13.8" x14ac:dyDescent="0.25">
      <c r="A422" s="125" t="s">
        <v>313</v>
      </c>
      <c r="B422" s="121"/>
      <c r="C422" s="163">
        <v>323</v>
      </c>
      <c r="D422" s="164" t="s">
        <v>56</v>
      </c>
      <c r="E422" s="123">
        <f>SUM(E423)</f>
        <v>0</v>
      </c>
      <c r="F422" s="288">
        <f>SUM(F423)</f>
        <v>70000</v>
      </c>
      <c r="G422" s="288"/>
      <c r="H422" s="288"/>
      <c r="I422" s="330">
        <f t="shared" si="58"/>
        <v>0</v>
      </c>
      <c r="J422" s="330"/>
    </row>
    <row r="423" spans="1:10" s="132" customFormat="1" ht="13.8" hidden="1" x14ac:dyDescent="0.25">
      <c r="A423" s="125" t="s">
        <v>313</v>
      </c>
      <c r="B423" s="125">
        <v>96</v>
      </c>
      <c r="C423" s="165">
        <v>3232</v>
      </c>
      <c r="D423" s="166" t="s">
        <v>242</v>
      </c>
      <c r="E423" s="127">
        <v>0</v>
      </c>
      <c r="F423" s="291">
        <v>70000</v>
      </c>
      <c r="G423" s="291"/>
      <c r="H423" s="291"/>
      <c r="I423" s="330">
        <f t="shared" si="58"/>
        <v>0</v>
      </c>
      <c r="J423" s="330"/>
    </row>
    <row r="424" spans="1:10" s="132" customFormat="1" ht="13.8" x14ac:dyDescent="0.25">
      <c r="A424" s="125" t="s">
        <v>313</v>
      </c>
      <c r="B424" s="121"/>
      <c r="C424" s="163">
        <v>42</v>
      </c>
      <c r="D424" s="164" t="s">
        <v>250</v>
      </c>
      <c r="E424" s="123">
        <f>SUM(E425)</f>
        <v>0</v>
      </c>
      <c r="F424" s="288">
        <f>SUM(F425)</f>
        <v>75000</v>
      </c>
      <c r="G424" s="288">
        <v>100000</v>
      </c>
      <c r="H424" s="288">
        <v>50000</v>
      </c>
      <c r="I424" s="330">
        <f t="shared" si="58"/>
        <v>133.33333333333331</v>
      </c>
      <c r="J424" s="330">
        <f t="shared" si="58"/>
        <v>50</v>
      </c>
    </row>
    <row r="425" spans="1:10" s="132" customFormat="1" ht="13.8" x14ac:dyDescent="0.25">
      <c r="A425" s="125" t="s">
        <v>313</v>
      </c>
      <c r="B425" s="121"/>
      <c r="C425" s="163">
        <v>422</v>
      </c>
      <c r="D425" s="164" t="s">
        <v>99</v>
      </c>
      <c r="E425" s="123">
        <f>SUM(E426)</f>
        <v>0</v>
      </c>
      <c r="F425" s="288">
        <f>SUM(F426)</f>
        <v>75000</v>
      </c>
      <c r="G425" s="288"/>
      <c r="H425" s="288"/>
      <c r="I425" s="330">
        <f t="shared" si="58"/>
        <v>0</v>
      </c>
      <c r="J425" s="330"/>
    </row>
    <row r="426" spans="1:10" s="132" customFormat="1" ht="13.8" hidden="1" x14ac:dyDescent="0.25">
      <c r="A426" s="125" t="s">
        <v>313</v>
      </c>
      <c r="B426" s="125">
        <v>97</v>
      </c>
      <c r="C426" s="165">
        <v>4227</v>
      </c>
      <c r="D426" s="166" t="s">
        <v>102</v>
      </c>
      <c r="E426" s="127">
        <v>0</v>
      </c>
      <c r="F426" s="291">
        <v>75000</v>
      </c>
      <c r="G426" s="291"/>
      <c r="H426" s="291"/>
      <c r="I426" s="330">
        <f t="shared" si="58"/>
        <v>0</v>
      </c>
      <c r="J426" s="330"/>
    </row>
    <row r="427" spans="1:10" s="132" customFormat="1" ht="13.8" x14ac:dyDescent="0.25">
      <c r="A427" s="129"/>
      <c r="B427" s="129"/>
      <c r="C427" s="172"/>
      <c r="D427" s="173"/>
      <c r="E427" s="131"/>
      <c r="F427" s="293"/>
      <c r="G427" s="293"/>
      <c r="H427" s="293"/>
      <c r="I427" s="252"/>
      <c r="J427" s="252"/>
    </row>
    <row r="428" spans="1:10" s="128" customFormat="1" ht="15" x14ac:dyDescent="0.25">
      <c r="C428" s="194"/>
      <c r="D428" s="218"/>
      <c r="E428" s="219"/>
      <c r="F428" s="315"/>
      <c r="G428" s="315"/>
      <c r="H428" s="315"/>
      <c r="I428" s="247"/>
      <c r="J428" s="247"/>
    </row>
    <row r="429" spans="1:10" s="99" customFormat="1" ht="30" customHeight="1" x14ac:dyDescent="0.25">
      <c r="A429" s="128"/>
      <c r="C429" s="194"/>
      <c r="D429" s="202" t="s">
        <v>246</v>
      </c>
      <c r="E429" s="116"/>
      <c r="F429" s="285"/>
      <c r="G429" s="285"/>
      <c r="H429" s="285"/>
      <c r="I429" s="257"/>
      <c r="J429" s="257"/>
    </row>
    <row r="430" spans="1:10" s="1" customFormat="1" ht="14.25" customHeight="1" x14ac:dyDescent="0.25">
      <c r="C430" s="207"/>
      <c r="D430" s="238" t="s">
        <v>254</v>
      </c>
      <c r="E430" s="215"/>
      <c r="F430" s="286"/>
      <c r="G430" s="314"/>
      <c r="H430" s="314"/>
      <c r="I430" s="258"/>
      <c r="J430" s="258"/>
    </row>
    <row r="431" spans="1:10" s="1" customFormat="1" ht="13.8" x14ac:dyDescent="0.25">
      <c r="C431" s="207"/>
      <c r="D431" s="272" t="s">
        <v>337</v>
      </c>
      <c r="E431" s="197">
        <f t="shared" ref="E431:H433" si="59">SUM(E432)</f>
        <v>350000</v>
      </c>
      <c r="F431" s="280">
        <f t="shared" si="59"/>
        <v>1000000</v>
      </c>
      <c r="G431" s="280">
        <f t="shared" si="59"/>
        <v>500000</v>
      </c>
      <c r="H431" s="280">
        <f t="shared" si="59"/>
        <v>200000</v>
      </c>
      <c r="I431" s="332">
        <f>AVERAGE(G431/F431*100)</f>
        <v>50</v>
      </c>
      <c r="J431" s="332">
        <f>AVERAGE(H431/G431*100)</f>
        <v>40</v>
      </c>
    </row>
    <row r="432" spans="1:10" s="132" customFormat="1" ht="13.8" x14ac:dyDescent="0.25">
      <c r="A432" s="125" t="s">
        <v>350</v>
      </c>
      <c r="B432" s="121"/>
      <c r="C432" s="163">
        <v>42</v>
      </c>
      <c r="D432" s="164" t="s">
        <v>250</v>
      </c>
      <c r="E432" s="123">
        <f t="shared" si="59"/>
        <v>350000</v>
      </c>
      <c r="F432" s="288">
        <f t="shared" si="59"/>
        <v>1000000</v>
      </c>
      <c r="G432" s="288">
        <v>500000</v>
      </c>
      <c r="H432" s="288">
        <v>200000</v>
      </c>
      <c r="I432" s="330">
        <f t="shared" ref="I432:J434" si="60">AVERAGE(G432/F432*100)</f>
        <v>50</v>
      </c>
      <c r="J432" s="330">
        <f t="shared" si="60"/>
        <v>40</v>
      </c>
    </row>
    <row r="433" spans="1:10" s="132" customFormat="1" ht="13.8" x14ac:dyDescent="0.25">
      <c r="A433" s="125" t="s">
        <v>350</v>
      </c>
      <c r="B433" s="121"/>
      <c r="C433" s="163">
        <v>421</v>
      </c>
      <c r="D433" s="164" t="s">
        <v>97</v>
      </c>
      <c r="E433" s="123">
        <f t="shared" si="59"/>
        <v>350000</v>
      </c>
      <c r="F433" s="288">
        <f t="shared" si="59"/>
        <v>1000000</v>
      </c>
      <c r="G433" s="288"/>
      <c r="H433" s="288"/>
      <c r="I433" s="330">
        <f t="shared" si="60"/>
        <v>0</v>
      </c>
      <c r="J433" s="330"/>
    </row>
    <row r="434" spans="1:10" s="132" customFormat="1" ht="13.8" hidden="1" x14ac:dyDescent="0.25">
      <c r="A434" s="125" t="s">
        <v>350</v>
      </c>
      <c r="B434" s="125">
        <v>98</v>
      </c>
      <c r="C434" s="165">
        <v>4212</v>
      </c>
      <c r="D434" s="166" t="s">
        <v>98</v>
      </c>
      <c r="E434" s="127">
        <v>350000</v>
      </c>
      <c r="F434" s="291">
        <v>1000000</v>
      </c>
      <c r="G434" s="291"/>
      <c r="H434" s="291"/>
      <c r="I434" s="330">
        <f t="shared" si="60"/>
        <v>0</v>
      </c>
      <c r="J434" s="330"/>
    </row>
    <row r="435" spans="1:10" s="132" customFormat="1" ht="13.8" x14ac:dyDescent="0.25">
      <c r="A435" s="129"/>
      <c r="B435" s="129"/>
      <c r="C435" s="172"/>
      <c r="D435" s="173"/>
      <c r="E435" s="131"/>
      <c r="F435" s="293"/>
      <c r="G435" s="293"/>
      <c r="H435" s="293"/>
      <c r="I435" s="252"/>
      <c r="J435" s="252"/>
    </row>
    <row r="436" spans="1:10" s="1" customFormat="1" ht="13.8" x14ac:dyDescent="0.25">
      <c r="C436" s="207"/>
      <c r="D436" s="213" t="s">
        <v>342</v>
      </c>
      <c r="E436" s="116"/>
      <c r="F436" s="285"/>
      <c r="G436" s="285"/>
      <c r="H436" s="285"/>
      <c r="I436" s="257"/>
      <c r="J436" s="257"/>
    </row>
    <row r="437" spans="1:10" s="1" customFormat="1" ht="14.25" customHeight="1" x14ac:dyDescent="0.25">
      <c r="C437" s="207"/>
      <c r="D437" s="238" t="s">
        <v>195</v>
      </c>
      <c r="E437" s="118"/>
      <c r="F437" s="286"/>
      <c r="G437" s="314"/>
      <c r="H437" s="286"/>
      <c r="I437" s="258"/>
      <c r="J437" s="258"/>
    </row>
    <row r="438" spans="1:10" s="1" customFormat="1" ht="13.8" x14ac:dyDescent="0.25">
      <c r="C438" s="207"/>
      <c r="D438" s="273" t="s">
        <v>338</v>
      </c>
      <c r="E438" s="197">
        <f>SUM(E439+E442)</f>
        <v>645000</v>
      </c>
      <c r="F438" s="280">
        <f>SUM(F439+F442)</f>
        <v>1300000</v>
      </c>
      <c r="G438" s="280">
        <f>SUM(G439+G442)</f>
        <v>150000</v>
      </c>
      <c r="H438" s="280">
        <f>SUM(H439+H442)</f>
        <v>10000</v>
      </c>
      <c r="I438" s="332">
        <f>AVERAGE(G438/F438*100)</f>
        <v>11.538461538461538</v>
      </c>
      <c r="J438" s="332">
        <f>AVERAGE(H438/G438*100)</f>
        <v>6.666666666666667</v>
      </c>
    </row>
    <row r="439" spans="1:10" s="132" customFormat="1" ht="13.8" x14ac:dyDescent="0.25">
      <c r="A439" s="125" t="s">
        <v>351</v>
      </c>
      <c r="B439" s="121"/>
      <c r="C439" s="163">
        <v>32</v>
      </c>
      <c r="D439" s="164" t="s">
        <v>47</v>
      </c>
      <c r="E439" s="123">
        <f>SUM(E440)</f>
        <v>0</v>
      </c>
      <c r="F439" s="288">
        <f>SUM(F440)</f>
        <v>300000</v>
      </c>
      <c r="G439" s="288">
        <v>50000</v>
      </c>
      <c r="H439" s="288">
        <v>10000</v>
      </c>
      <c r="I439" s="330">
        <f t="shared" ref="I439:J444" si="61">AVERAGE(G439/F439*100)</f>
        <v>16.666666666666664</v>
      </c>
      <c r="J439" s="330">
        <f t="shared" si="61"/>
        <v>20</v>
      </c>
    </row>
    <row r="440" spans="1:10" s="132" customFormat="1" ht="13.8" x14ac:dyDescent="0.25">
      <c r="A440" s="125" t="s">
        <v>351</v>
      </c>
      <c r="B440" s="121"/>
      <c r="C440" s="163">
        <v>323</v>
      </c>
      <c r="D440" s="164" t="s">
        <v>56</v>
      </c>
      <c r="E440" s="123">
        <f>SUM(E441)</f>
        <v>0</v>
      </c>
      <c r="F440" s="288">
        <f>SUM(F441)</f>
        <v>300000</v>
      </c>
      <c r="G440" s="288"/>
      <c r="H440" s="288"/>
      <c r="I440" s="330">
        <f t="shared" si="61"/>
        <v>0</v>
      </c>
      <c r="J440" s="330"/>
    </row>
    <row r="441" spans="1:10" s="132" customFormat="1" ht="13.8" hidden="1" x14ac:dyDescent="0.25">
      <c r="A441" s="125" t="s">
        <v>351</v>
      </c>
      <c r="B441" s="125">
        <v>99</v>
      </c>
      <c r="C441" s="165">
        <v>3232</v>
      </c>
      <c r="D441" s="166" t="s">
        <v>242</v>
      </c>
      <c r="E441" s="127">
        <v>0</v>
      </c>
      <c r="F441" s="291">
        <v>300000</v>
      </c>
      <c r="G441" s="291"/>
      <c r="H441" s="291"/>
      <c r="I441" s="330">
        <f t="shared" si="61"/>
        <v>0</v>
      </c>
      <c r="J441" s="330"/>
    </row>
    <row r="442" spans="1:10" s="132" customFormat="1" ht="13.8" x14ac:dyDescent="0.25">
      <c r="A442" s="125" t="s">
        <v>351</v>
      </c>
      <c r="B442" s="121"/>
      <c r="C442" s="163">
        <v>45</v>
      </c>
      <c r="D442" s="164" t="s">
        <v>265</v>
      </c>
      <c r="E442" s="123">
        <f t="shared" ref="E442:H443" si="62">SUM(E443)</f>
        <v>645000</v>
      </c>
      <c r="F442" s="288">
        <f t="shared" si="62"/>
        <v>1000000</v>
      </c>
      <c r="G442" s="288">
        <v>100000</v>
      </c>
      <c r="H442" s="288">
        <f t="shared" si="62"/>
        <v>0</v>
      </c>
      <c r="I442" s="330">
        <f t="shared" si="61"/>
        <v>10</v>
      </c>
      <c r="J442" s="330">
        <f t="shared" si="61"/>
        <v>0</v>
      </c>
    </row>
    <row r="443" spans="1:10" s="132" customFormat="1" ht="13.8" x14ac:dyDescent="0.25">
      <c r="A443" s="125" t="s">
        <v>351</v>
      </c>
      <c r="B443" s="121"/>
      <c r="C443" s="163">
        <v>451</v>
      </c>
      <c r="D443" s="164" t="s">
        <v>103</v>
      </c>
      <c r="E443" s="123">
        <f t="shared" si="62"/>
        <v>645000</v>
      </c>
      <c r="F443" s="288">
        <f t="shared" si="62"/>
        <v>1000000</v>
      </c>
      <c r="G443" s="288"/>
      <c r="H443" s="288"/>
      <c r="I443" s="330">
        <f t="shared" si="61"/>
        <v>0</v>
      </c>
      <c r="J443" s="330"/>
    </row>
    <row r="444" spans="1:10" s="132" customFormat="1" ht="13.8" hidden="1" x14ac:dyDescent="0.25">
      <c r="A444" s="125" t="s">
        <v>351</v>
      </c>
      <c r="B444" s="125">
        <v>100</v>
      </c>
      <c r="C444" s="165">
        <v>4511</v>
      </c>
      <c r="D444" s="166" t="s">
        <v>103</v>
      </c>
      <c r="E444" s="127">
        <v>645000</v>
      </c>
      <c r="F444" s="291">
        <v>1000000</v>
      </c>
      <c r="G444" s="291"/>
      <c r="H444" s="291"/>
      <c r="I444" s="330">
        <f t="shared" si="61"/>
        <v>0</v>
      </c>
      <c r="J444" s="330"/>
    </row>
    <row r="445" spans="1:10" s="132" customFormat="1" ht="13.8" x14ac:dyDescent="0.25">
      <c r="A445" s="129"/>
      <c r="B445" s="129"/>
      <c r="C445" s="172"/>
      <c r="D445" s="173"/>
      <c r="E445" s="131"/>
      <c r="F445" s="293"/>
      <c r="G445" s="293"/>
      <c r="H445" s="293"/>
      <c r="I445" s="252"/>
      <c r="J445" s="252"/>
    </row>
    <row r="446" spans="1:10" s="99" customFormat="1" ht="30" customHeight="1" x14ac:dyDescent="0.25">
      <c r="A446" s="128"/>
      <c r="C446" s="194"/>
      <c r="D446" s="202" t="s">
        <v>246</v>
      </c>
      <c r="E446" s="116"/>
      <c r="F446" s="285"/>
      <c r="G446" s="285"/>
      <c r="H446" s="285"/>
      <c r="I446" s="257"/>
      <c r="J446" s="257"/>
    </row>
    <row r="447" spans="1:10" s="1" customFormat="1" ht="14.25" customHeight="1" x14ac:dyDescent="0.25">
      <c r="C447" s="207"/>
      <c r="D447" s="238" t="s">
        <v>254</v>
      </c>
      <c r="E447" s="215"/>
      <c r="F447" s="286"/>
      <c r="G447" s="314"/>
      <c r="H447" s="314"/>
      <c r="I447" s="258"/>
      <c r="J447" s="258"/>
    </row>
    <row r="448" spans="1:10" s="1" customFormat="1" ht="13.8" x14ac:dyDescent="0.25">
      <c r="C448" s="207"/>
      <c r="D448" s="272" t="s">
        <v>353</v>
      </c>
      <c r="E448" s="197">
        <f>SUM(E449+E452)</f>
        <v>0</v>
      </c>
      <c r="F448" s="280">
        <f>SUM(F449+F452)</f>
        <v>300000</v>
      </c>
      <c r="G448" s="280">
        <f>SUM(G449+G452)</f>
        <v>100000</v>
      </c>
      <c r="H448" s="280">
        <f>SUM(H449+H452)</f>
        <v>1000000</v>
      </c>
      <c r="I448" s="332">
        <f>AVERAGE(G448/F448*100)</f>
        <v>33.333333333333329</v>
      </c>
      <c r="J448" s="332">
        <f>AVERAGE(H448/G448*100)</f>
        <v>1000</v>
      </c>
    </row>
    <row r="449" spans="1:10" s="150" customFormat="1" ht="13.8" x14ac:dyDescent="0.25">
      <c r="A449" s="234" t="s">
        <v>352</v>
      </c>
      <c r="B449" s="121"/>
      <c r="C449" s="163">
        <v>41</v>
      </c>
      <c r="D449" s="164" t="s">
        <v>248</v>
      </c>
      <c r="E449" s="123">
        <f t="shared" ref="E449:H450" si="63">SUM(E450)</f>
        <v>0</v>
      </c>
      <c r="F449" s="288">
        <f t="shared" si="63"/>
        <v>250000</v>
      </c>
      <c r="G449" s="288">
        <f t="shared" si="63"/>
        <v>0</v>
      </c>
      <c r="H449" s="288">
        <f t="shared" si="63"/>
        <v>0</v>
      </c>
      <c r="I449" s="330">
        <f t="shared" ref="I449:J454" si="64">AVERAGE(G449/F449*100)</f>
        <v>0</v>
      </c>
      <c r="J449" s="330"/>
    </row>
    <row r="450" spans="1:10" s="132" customFormat="1" ht="13.8" x14ac:dyDescent="0.25">
      <c r="A450" s="234" t="s">
        <v>352</v>
      </c>
      <c r="B450" s="121"/>
      <c r="C450" s="163">
        <v>411</v>
      </c>
      <c r="D450" s="164" t="s">
        <v>95</v>
      </c>
      <c r="E450" s="123">
        <f t="shared" si="63"/>
        <v>0</v>
      </c>
      <c r="F450" s="288">
        <f t="shared" si="63"/>
        <v>250000</v>
      </c>
      <c r="G450" s="288"/>
      <c r="H450" s="288"/>
      <c r="I450" s="330">
        <f t="shared" si="64"/>
        <v>0</v>
      </c>
      <c r="J450" s="330"/>
    </row>
    <row r="451" spans="1:10" s="132" customFormat="1" ht="13.8" hidden="1" x14ac:dyDescent="0.25">
      <c r="A451" s="234" t="s">
        <v>352</v>
      </c>
      <c r="B451" s="125">
        <v>101</v>
      </c>
      <c r="C451" s="165">
        <v>4111</v>
      </c>
      <c r="D451" s="166" t="s">
        <v>40</v>
      </c>
      <c r="E451" s="127">
        <v>0</v>
      </c>
      <c r="F451" s="291">
        <v>250000</v>
      </c>
      <c r="G451" s="291"/>
      <c r="H451" s="291"/>
      <c r="I451" s="330">
        <f t="shared" si="64"/>
        <v>0</v>
      </c>
      <c r="J451" s="330"/>
    </row>
    <row r="452" spans="1:10" s="132" customFormat="1" ht="13.8" x14ac:dyDescent="0.25">
      <c r="A452" s="234" t="s">
        <v>352</v>
      </c>
      <c r="B452" s="121"/>
      <c r="C452" s="163">
        <v>42</v>
      </c>
      <c r="D452" s="164" t="s">
        <v>250</v>
      </c>
      <c r="E452" s="123">
        <f>SUM(E453)</f>
        <v>0</v>
      </c>
      <c r="F452" s="288">
        <f>SUM(F453)</f>
        <v>50000</v>
      </c>
      <c r="G452" s="288">
        <v>100000</v>
      </c>
      <c r="H452" s="288">
        <v>1000000</v>
      </c>
      <c r="I452" s="330">
        <f t="shared" si="64"/>
        <v>200</v>
      </c>
      <c r="J452" s="330">
        <f t="shared" si="64"/>
        <v>1000</v>
      </c>
    </row>
    <row r="453" spans="1:10" s="132" customFormat="1" ht="13.8" x14ac:dyDescent="0.25">
      <c r="A453" s="234" t="s">
        <v>352</v>
      </c>
      <c r="B453" s="121"/>
      <c r="C453" s="163">
        <v>421</v>
      </c>
      <c r="D453" s="164" t="s">
        <v>97</v>
      </c>
      <c r="E453" s="123">
        <f>SUM(E454)</f>
        <v>0</v>
      </c>
      <c r="F453" s="288">
        <f>SUM(F454)</f>
        <v>50000</v>
      </c>
      <c r="G453" s="288"/>
      <c r="H453" s="288"/>
      <c r="I453" s="330">
        <f t="shared" si="64"/>
        <v>0</v>
      </c>
      <c r="J453" s="330"/>
    </row>
    <row r="454" spans="1:10" s="132" customFormat="1" ht="13.8" hidden="1" x14ac:dyDescent="0.25">
      <c r="A454" s="234" t="s">
        <v>352</v>
      </c>
      <c r="B454" s="125">
        <v>102</v>
      </c>
      <c r="C454" s="165">
        <v>4214</v>
      </c>
      <c r="D454" s="166" t="s">
        <v>251</v>
      </c>
      <c r="E454" s="127">
        <v>0</v>
      </c>
      <c r="F454" s="291">
        <v>50000</v>
      </c>
      <c r="G454" s="291"/>
      <c r="H454" s="291"/>
      <c r="I454" s="330">
        <f t="shared" si="64"/>
        <v>0</v>
      </c>
      <c r="J454" s="330"/>
    </row>
    <row r="455" spans="1:10" s="132" customFormat="1" ht="13.8" x14ac:dyDescent="0.25">
      <c r="A455" s="129"/>
      <c r="B455" s="129"/>
      <c r="C455" s="172"/>
      <c r="D455" s="173"/>
      <c r="E455" s="131"/>
      <c r="F455" s="293"/>
      <c r="G455" s="293"/>
      <c r="H455" s="293"/>
      <c r="I455" s="252"/>
      <c r="J455" s="252"/>
    </row>
    <row r="456" spans="1:10" s="1" customFormat="1" ht="27.6" x14ac:dyDescent="0.25">
      <c r="C456" s="207"/>
      <c r="D456" s="202" t="s">
        <v>255</v>
      </c>
      <c r="E456" s="116"/>
      <c r="F456" s="285"/>
      <c r="G456" s="285"/>
      <c r="H456" s="285"/>
      <c r="I456" s="257"/>
      <c r="J456" s="257"/>
    </row>
    <row r="457" spans="1:10" s="1" customFormat="1" ht="13.8" x14ac:dyDescent="0.25">
      <c r="C457" s="207"/>
      <c r="D457" s="238" t="s">
        <v>256</v>
      </c>
      <c r="E457" s="118"/>
      <c r="F457" s="286"/>
      <c r="G457" s="314"/>
      <c r="H457" s="314"/>
      <c r="I457" s="258"/>
      <c r="J457" s="258"/>
    </row>
    <row r="458" spans="1:10" s="1" customFormat="1" ht="13.8" x14ac:dyDescent="0.25">
      <c r="C458" s="207"/>
      <c r="D458" s="273" t="s">
        <v>354</v>
      </c>
      <c r="E458" s="197">
        <f t="shared" ref="E458:H460" si="65">SUM(E459)</f>
        <v>500000</v>
      </c>
      <c r="F458" s="280">
        <f t="shared" si="65"/>
        <v>150000</v>
      </c>
      <c r="G458" s="280">
        <f t="shared" si="65"/>
        <v>100000</v>
      </c>
      <c r="H458" s="280">
        <f t="shared" si="65"/>
        <v>100000</v>
      </c>
      <c r="I458" s="332">
        <f>AVERAGE(G458/F458*100)</f>
        <v>66.666666666666657</v>
      </c>
      <c r="J458" s="332">
        <f>AVERAGE(H458/G458*100)</f>
        <v>100</v>
      </c>
    </row>
    <row r="459" spans="1:10" s="132" customFormat="1" ht="13.8" x14ac:dyDescent="0.25">
      <c r="A459" s="234" t="s">
        <v>355</v>
      </c>
      <c r="B459" s="121"/>
      <c r="C459" s="163">
        <v>42</v>
      </c>
      <c r="D459" s="164" t="s">
        <v>250</v>
      </c>
      <c r="E459" s="123">
        <f t="shared" si="65"/>
        <v>500000</v>
      </c>
      <c r="F459" s="288">
        <f t="shared" si="65"/>
        <v>150000</v>
      </c>
      <c r="G459" s="288">
        <v>100000</v>
      </c>
      <c r="H459" s="288">
        <v>100000</v>
      </c>
      <c r="I459" s="330">
        <f t="shared" ref="I459:J461" si="66">AVERAGE(G459/F459*100)</f>
        <v>66.666666666666657</v>
      </c>
      <c r="J459" s="330">
        <f t="shared" si="66"/>
        <v>100</v>
      </c>
    </row>
    <row r="460" spans="1:10" s="132" customFormat="1" ht="13.8" x14ac:dyDescent="0.25">
      <c r="A460" s="234" t="s">
        <v>355</v>
      </c>
      <c r="B460" s="121"/>
      <c r="C460" s="163">
        <v>421</v>
      </c>
      <c r="D460" s="164" t="s">
        <v>97</v>
      </c>
      <c r="E460" s="123">
        <f t="shared" si="65"/>
        <v>500000</v>
      </c>
      <c r="F460" s="288">
        <f t="shared" si="65"/>
        <v>150000</v>
      </c>
      <c r="G460" s="288"/>
      <c r="H460" s="288"/>
      <c r="I460" s="330">
        <f t="shared" si="66"/>
        <v>0</v>
      </c>
      <c r="J460" s="330"/>
    </row>
    <row r="461" spans="1:10" s="132" customFormat="1" ht="13.8" hidden="1" x14ac:dyDescent="0.25">
      <c r="A461" s="234" t="s">
        <v>355</v>
      </c>
      <c r="B461" s="125">
        <v>103</v>
      </c>
      <c r="C461" s="165">
        <v>4214</v>
      </c>
      <c r="D461" s="166" t="s">
        <v>251</v>
      </c>
      <c r="E461" s="127">
        <v>500000</v>
      </c>
      <c r="F461" s="291">
        <v>150000</v>
      </c>
      <c r="G461" s="291"/>
      <c r="H461" s="291"/>
      <c r="I461" s="330">
        <f t="shared" si="66"/>
        <v>0</v>
      </c>
      <c r="J461" s="330"/>
    </row>
    <row r="462" spans="1:10" s="132" customFormat="1" ht="13.8" x14ac:dyDescent="0.25">
      <c r="A462" s="224"/>
      <c r="B462" s="129"/>
      <c r="C462" s="172"/>
      <c r="D462" s="173"/>
      <c r="E462" s="131"/>
      <c r="F462" s="293"/>
      <c r="G462" s="293"/>
      <c r="H462" s="293"/>
      <c r="I462" s="252"/>
      <c r="J462" s="252"/>
    </row>
    <row r="463" spans="1:10" s="1" customFormat="1" ht="13.8" x14ac:dyDescent="0.25">
      <c r="C463" s="207"/>
      <c r="D463" s="213" t="s">
        <v>257</v>
      </c>
      <c r="E463" s="116"/>
      <c r="F463" s="285"/>
      <c r="G463" s="285"/>
      <c r="H463" s="285"/>
      <c r="I463" s="257"/>
      <c r="J463" s="257"/>
    </row>
    <row r="464" spans="1:10" s="1" customFormat="1" ht="14.25" customHeight="1" x14ac:dyDescent="0.25">
      <c r="C464" s="207"/>
      <c r="D464" s="237" t="s">
        <v>289</v>
      </c>
      <c r="E464" s="118"/>
      <c r="F464" s="286"/>
      <c r="G464" s="314"/>
      <c r="H464" s="314"/>
      <c r="I464" s="258"/>
      <c r="J464" s="258"/>
    </row>
    <row r="465" spans="1:10" s="1" customFormat="1" ht="13.8" x14ac:dyDescent="0.25">
      <c r="C465" s="207"/>
      <c r="D465" s="273" t="s">
        <v>356</v>
      </c>
      <c r="E465" s="197">
        <f t="shared" ref="E465:H467" si="67">SUM(E466)</f>
        <v>50000</v>
      </c>
      <c r="F465" s="280">
        <f t="shared" si="67"/>
        <v>500000</v>
      </c>
      <c r="G465" s="280">
        <f t="shared" si="67"/>
        <v>300000</v>
      </c>
      <c r="H465" s="280">
        <f t="shared" si="67"/>
        <v>100000</v>
      </c>
      <c r="I465" s="332">
        <f>AVERAGE(G465/F465*100)</f>
        <v>60</v>
      </c>
      <c r="J465" s="332">
        <f>AVERAGE(H465/G465*100)</f>
        <v>33.333333333333329</v>
      </c>
    </row>
    <row r="466" spans="1:10" s="132" customFormat="1" ht="13.8" x14ac:dyDescent="0.25">
      <c r="A466" s="234" t="s">
        <v>357</v>
      </c>
      <c r="B466" s="121"/>
      <c r="C466" s="163">
        <v>42</v>
      </c>
      <c r="D466" s="164" t="s">
        <v>250</v>
      </c>
      <c r="E466" s="123">
        <f t="shared" si="67"/>
        <v>50000</v>
      </c>
      <c r="F466" s="288">
        <f t="shared" si="67"/>
        <v>500000</v>
      </c>
      <c r="G466" s="288">
        <v>300000</v>
      </c>
      <c r="H466" s="288">
        <v>100000</v>
      </c>
      <c r="I466" s="330">
        <f t="shared" ref="I466:J468" si="68">AVERAGE(G466/F466*100)</f>
        <v>60</v>
      </c>
      <c r="J466" s="330">
        <f t="shared" si="68"/>
        <v>33.333333333333329</v>
      </c>
    </row>
    <row r="467" spans="1:10" s="132" customFormat="1" ht="13.8" x14ac:dyDescent="0.25">
      <c r="A467" s="234" t="s">
        <v>357</v>
      </c>
      <c r="B467" s="121"/>
      <c r="C467" s="163">
        <v>421</v>
      </c>
      <c r="D467" s="164" t="s">
        <v>97</v>
      </c>
      <c r="E467" s="123">
        <f t="shared" si="67"/>
        <v>50000</v>
      </c>
      <c r="F467" s="288">
        <f t="shared" si="67"/>
        <v>500000</v>
      </c>
      <c r="G467" s="288"/>
      <c r="H467" s="288"/>
      <c r="I467" s="330">
        <f t="shared" si="68"/>
        <v>0</v>
      </c>
      <c r="J467" s="330"/>
    </row>
    <row r="468" spans="1:10" s="132" customFormat="1" ht="13.8" hidden="1" x14ac:dyDescent="0.25">
      <c r="A468" s="234" t="s">
        <v>357</v>
      </c>
      <c r="B468" s="125">
        <v>104</v>
      </c>
      <c r="C468" s="165">
        <v>4214</v>
      </c>
      <c r="D468" s="166" t="s">
        <v>251</v>
      </c>
      <c r="E468" s="127">
        <v>50000</v>
      </c>
      <c r="F468" s="291">
        <v>500000</v>
      </c>
      <c r="G468" s="291"/>
      <c r="H468" s="291"/>
      <c r="I468" s="330">
        <f t="shared" si="68"/>
        <v>0</v>
      </c>
      <c r="J468" s="330"/>
    </row>
    <row r="469" spans="1:10" s="132" customFormat="1" ht="13.8" x14ac:dyDescent="0.25">
      <c r="A469" s="129"/>
      <c r="B469" s="129"/>
      <c r="C469" s="172"/>
      <c r="D469" s="173"/>
      <c r="E469" s="131"/>
      <c r="F469" s="293"/>
      <c r="G469" s="293"/>
      <c r="H469" s="293"/>
      <c r="I469" s="252"/>
      <c r="J469" s="252"/>
    </row>
    <row r="470" spans="1:10" s="1" customFormat="1" ht="13.8" x14ac:dyDescent="0.25">
      <c r="C470" s="207"/>
      <c r="D470" s="213" t="s">
        <v>257</v>
      </c>
      <c r="E470" s="116"/>
      <c r="F470" s="285"/>
      <c r="G470" s="285"/>
      <c r="H470" s="285"/>
      <c r="I470" s="257"/>
      <c r="J470" s="257"/>
    </row>
    <row r="471" spans="1:10" s="1" customFormat="1" ht="13.8" x14ac:dyDescent="0.25">
      <c r="C471" s="207"/>
      <c r="D471" s="238" t="s">
        <v>289</v>
      </c>
      <c r="E471" s="118"/>
      <c r="F471" s="286"/>
      <c r="G471" s="314"/>
      <c r="H471" s="314"/>
      <c r="I471" s="258"/>
      <c r="J471" s="258"/>
    </row>
    <row r="472" spans="1:10" s="1" customFormat="1" ht="13.8" x14ac:dyDescent="0.25">
      <c r="C472" s="207"/>
      <c r="D472" s="272" t="s">
        <v>359</v>
      </c>
      <c r="E472" s="197">
        <f t="shared" ref="E472:H474" si="69">SUM(E473)</f>
        <v>100000</v>
      </c>
      <c r="F472" s="280">
        <f t="shared" si="69"/>
        <v>100000</v>
      </c>
      <c r="G472" s="280">
        <f t="shared" si="69"/>
        <v>80000</v>
      </c>
      <c r="H472" s="280">
        <f t="shared" si="69"/>
        <v>60000</v>
      </c>
      <c r="I472" s="332">
        <f>AVERAGE(G472/F472*100)</f>
        <v>80</v>
      </c>
      <c r="J472" s="332">
        <f>AVERAGE(H472/G472*100)</f>
        <v>75</v>
      </c>
    </row>
    <row r="473" spans="1:10" s="132" customFormat="1" ht="13.8" x14ac:dyDescent="0.25">
      <c r="A473" s="125" t="s">
        <v>358</v>
      </c>
      <c r="B473" s="121"/>
      <c r="C473" s="163">
        <v>42</v>
      </c>
      <c r="D473" s="164" t="s">
        <v>250</v>
      </c>
      <c r="E473" s="123">
        <f t="shared" si="69"/>
        <v>100000</v>
      </c>
      <c r="F473" s="288">
        <f t="shared" si="69"/>
        <v>100000</v>
      </c>
      <c r="G473" s="288">
        <v>80000</v>
      </c>
      <c r="H473" s="288">
        <v>60000</v>
      </c>
      <c r="I473" s="330">
        <f t="shared" ref="I473:J475" si="70">AVERAGE(G473/F473*100)</f>
        <v>80</v>
      </c>
      <c r="J473" s="330">
        <f t="shared" si="70"/>
        <v>75</v>
      </c>
    </row>
    <row r="474" spans="1:10" s="132" customFormat="1" ht="13.8" x14ac:dyDescent="0.25">
      <c r="A474" s="125" t="s">
        <v>358</v>
      </c>
      <c r="B474" s="121"/>
      <c r="C474" s="163">
        <v>421</v>
      </c>
      <c r="D474" s="164" t="s">
        <v>97</v>
      </c>
      <c r="E474" s="123">
        <f t="shared" si="69"/>
        <v>100000</v>
      </c>
      <c r="F474" s="288">
        <f t="shared" si="69"/>
        <v>100000</v>
      </c>
      <c r="G474" s="288"/>
      <c r="H474" s="288"/>
      <c r="I474" s="330">
        <f t="shared" si="70"/>
        <v>0</v>
      </c>
      <c r="J474" s="330"/>
    </row>
    <row r="475" spans="1:10" s="132" customFormat="1" ht="13.8" hidden="1" x14ac:dyDescent="0.25">
      <c r="A475" s="125" t="s">
        <v>358</v>
      </c>
      <c r="B475" s="125">
        <v>105</v>
      </c>
      <c r="C475" s="165">
        <v>42145</v>
      </c>
      <c r="D475" s="166" t="s">
        <v>251</v>
      </c>
      <c r="E475" s="127">
        <v>100000</v>
      </c>
      <c r="F475" s="291">
        <v>100000</v>
      </c>
      <c r="G475" s="291"/>
      <c r="H475" s="291"/>
      <c r="I475" s="330">
        <f t="shared" si="70"/>
        <v>0</v>
      </c>
      <c r="J475" s="330"/>
    </row>
    <row r="476" spans="1:10" s="128" customFormat="1" ht="14.4" thickBot="1" x14ac:dyDescent="0.3">
      <c r="C476" s="225"/>
      <c r="D476" s="226"/>
      <c r="E476" s="219"/>
      <c r="F476" s="315"/>
      <c r="G476" s="315"/>
      <c r="H476" s="315"/>
      <c r="I476" s="247"/>
      <c r="J476" s="247"/>
    </row>
    <row r="477" spans="1:10" s="210" customFormat="1" ht="17.399999999999999" thickBot="1" x14ac:dyDescent="0.35">
      <c r="A477" s="902" t="s">
        <v>258</v>
      </c>
      <c r="B477" s="903"/>
      <c r="C477" s="903"/>
      <c r="D477" s="903"/>
      <c r="E477" s="216">
        <f>SUM(E479)</f>
        <v>0</v>
      </c>
      <c r="F477" s="281">
        <f>SUM(F479)</f>
        <v>50000</v>
      </c>
      <c r="G477" s="281">
        <f>SUM(G479)</f>
        <v>0</v>
      </c>
      <c r="H477" s="281">
        <f>SUM(H479)</f>
        <v>0</v>
      </c>
      <c r="I477" s="246">
        <f>AVERAGE(G477/F477*100)</f>
        <v>0</v>
      </c>
      <c r="J477" s="246">
        <v>0</v>
      </c>
    </row>
    <row r="478" spans="1:10" s="210" customFormat="1" ht="17.399999999999999" thickBot="1" x14ac:dyDescent="0.35">
      <c r="A478" s="220"/>
      <c r="B478" s="220"/>
      <c r="C478" s="220"/>
      <c r="D478" s="220"/>
      <c r="E478" s="192"/>
      <c r="F478" s="305"/>
      <c r="G478" s="305"/>
      <c r="H478" s="305"/>
      <c r="I478" s="247"/>
      <c r="J478" s="247"/>
    </row>
    <row r="479" spans="1:10" s="99" customFormat="1" ht="16.2" thickBot="1" x14ac:dyDescent="0.35">
      <c r="A479" s="885" t="s">
        <v>259</v>
      </c>
      <c r="B479" s="886"/>
      <c r="C479" s="886"/>
      <c r="D479" s="886"/>
      <c r="E479" s="111">
        <f>SUM(E483)</f>
        <v>0</v>
      </c>
      <c r="F479" s="283">
        <f>SUM(F483)</f>
        <v>50000</v>
      </c>
      <c r="G479" s="283">
        <f>SUM(G483)</f>
        <v>0</v>
      </c>
      <c r="H479" s="283">
        <f>SUM(H483)</f>
        <v>0</v>
      </c>
      <c r="I479" s="248">
        <f>AVERAGE(G479/F479*100)</f>
        <v>0</v>
      </c>
      <c r="J479" s="248">
        <v>0</v>
      </c>
    </row>
    <row r="480" spans="1:10" s="99" customFormat="1" ht="15.6" x14ac:dyDescent="0.3">
      <c r="A480" s="100"/>
      <c r="B480" s="100"/>
      <c r="C480" s="100"/>
      <c r="D480" s="100"/>
      <c r="E480" s="199"/>
      <c r="F480" s="309"/>
      <c r="G480" s="309"/>
      <c r="H480" s="309"/>
      <c r="I480" s="247"/>
      <c r="J480" s="247"/>
    </row>
    <row r="481" spans="1:10" ht="13.8" x14ac:dyDescent="0.25">
      <c r="B481" s="1"/>
      <c r="C481" s="207"/>
      <c r="D481" s="202" t="s">
        <v>223</v>
      </c>
      <c r="E481" s="116"/>
      <c r="F481" s="285"/>
      <c r="G481" s="285"/>
      <c r="H481" s="285"/>
      <c r="I481" s="257"/>
      <c r="J481" s="257"/>
    </row>
    <row r="482" spans="1:10" ht="13.8" x14ac:dyDescent="0.25">
      <c r="B482" s="1"/>
      <c r="C482" s="207"/>
      <c r="D482" s="238" t="s">
        <v>195</v>
      </c>
      <c r="E482" s="118"/>
      <c r="F482" s="286"/>
      <c r="G482" s="286"/>
      <c r="H482" s="286"/>
      <c r="I482" s="258"/>
      <c r="J482" s="258"/>
    </row>
    <row r="483" spans="1:10" ht="13.8" x14ac:dyDescent="0.25">
      <c r="B483" s="1"/>
      <c r="C483" s="207"/>
      <c r="D483" s="273" t="s">
        <v>339</v>
      </c>
      <c r="E483" s="197">
        <f t="shared" ref="E483:H485" si="71">SUM(E484)</f>
        <v>0</v>
      </c>
      <c r="F483" s="280">
        <f t="shared" si="71"/>
        <v>50000</v>
      </c>
      <c r="G483" s="280">
        <f t="shared" si="71"/>
        <v>0</v>
      </c>
      <c r="H483" s="280">
        <f t="shared" si="71"/>
        <v>0</v>
      </c>
      <c r="I483" s="332">
        <f>AVERAGE(G483/F483*100)</f>
        <v>0</v>
      </c>
      <c r="J483" s="332">
        <v>0</v>
      </c>
    </row>
    <row r="484" spans="1:10" s="132" customFormat="1" ht="13.8" x14ac:dyDescent="0.25">
      <c r="A484" s="151" t="s">
        <v>292</v>
      </c>
      <c r="B484" s="121"/>
      <c r="C484" s="163">
        <v>42</v>
      </c>
      <c r="D484" s="227" t="s">
        <v>250</v>
      </c>
      <c r="E484" s="123">
        <f t="shared" si="71"/>
        <v>0</v>
      </c>
      <c r="F484" s="288">
        <f t="shared" si="71"/>
        <v>50000</v>
      </c>
      <c r="G484" s="288">
        <f t="shared" si="71"/>
        <v>0</v>
      </c>
      <c r="H484" s="288">
        <f t="shared" si="71"/>
        <v>0</v>
      </c>
      <c r="I484" s="330">
        <f>AVERAGE(G484/F484*100)</f>
        <v>0</v>
      </c>
      <c r="J484" s="330">
        <v>0</v>
      </c>
    </row>
    <row r="485" spans="1:10" s="150" customFormat="1" ht="13.8" x14ac:dyDescent="0.25">
      <c r="A485" s="151" t="s">
        <v>292</v>
      </c>
      <c r="B485" s="121"/>
      <c r="C485" s="163">
        <v>426</v>
      </c>
      <c r="D485" s="164" t="s">
        <v>117</v>
      </c>
      <c r="E485" s="123">
        <f t="shared" si="71"/>
        <v>0</v>
      </c>
      <c r="F485" s="288">
        <f t="shared" si="71"/>
        <v>50000</v>
      </c>
      <c r="G485" s="288"/>
      <c r="H485" s="288"/>
      <c r="I485" s="330">
        <f>AVERAGE(G485/F485*100)</f>
        <v>0</v>
      </c>
      <c r="J485" s="330"/>
    </row>
    <row r="486" spans="1:10" s="150" customFormat="1" ht="13.8" hidden="1" x14ac:dyDescent="0.25">
      <c r="A486" s="151" t="s">
        <v>292</v>
      </c>
      <c r="B486" s="125">
        <v>106</v>
      </c>
      <c r="C486" s="165">
        <v>42637</v>
      </c>
      <c r="D486" s="166" t="s">
        <v>260</v>
      </c>
      <c r="E486" s="127">
        <v>0</v>
      </c>
      <c r="F486" s="291">
        <v>50000</v>
      </c>
      <c r="G486" s="291"/>
      <c r="H486" s="291"/>
      <c r="I486" s="330">
        <f>AVERAGE(G486/F486*100)</f>
        <v>0</v>
      </c>
      <c r="J486" s="330"/>
    </row>
    <row r="487" spans="1:10" s="150" customFormat="1" ht="14.4" thickBot="1" x14ac:dyDescent="0.3">
      <c r="A487" s="129"/>
      <c r="B487" s="129"/>
      <c r="C487" s="172"/>
      <c r="D487" s="173"/>
      <c r="E487" s="131"/>
      <c r="F487" s="293"/>
      <c r="G487" s="293"/>
      <c r="H487" s="293"/>
      <c r="I487" s="252"/>
      <c r="J487" s="252"/>
    </row>
    <row r="488" spans="1:10" s="210" customFormat="1" ht="17.399999999999999" thickBot="1" x14ac:dyDescent="0.35">
      <c r="A488" s="902" t="s">
        <v>285</v>
      </c>
      <c r="B488" s="903"/>
      <c r="C488" s="903"/>
      <c r="D488" s="903"/>
      <c r="E488" s="216">
        <f>SUM(E490)</f>
        <v>0</v>
      </c>
      <c r="F488" s="281">
        <f>SUM(F490)</f>
        <v>10000</v>
      </c>
      <c r="G488" s="281">
        <f>SUM(G490)</f>
        <v>10000</v>
      </c>
      <c r="H488" s="281">
        <f>SUM(H490)</f>
        <v>10000</v>
      </c>
      <c r="I488" s="246">
        <f>AVERAGE(G488/F488*100)</f>
        <v>100</v>
      </c>
      <c r="J488" s="246">
        <f>AVERAGE(H488/G488*100)</f>
        <v>100</v>
      </c>
    </row>
    <row r="489" spans="1:10" s="210" customFormat="1" ht="17.399999999999999" thickBot="1" x14ac:dyDescent="0.35">
      <c r="A489" s="220"/>
      <c r="B489" s="220"/>
      <c r="C489" s="220"/>
      <c r="D489" s="220"/>
      <c r="E489" s="192"/>
      <c r="F489" s="305"/>
      <c r="G489" s="305"/>
      <c r="H489" s="305"/>
      <c r="I489" s="247"/>
      <c r="J489" s="247"/>
    </row>
    <row r="490" spans="1:10" s="99" customFormat="1" ht="16.2" thickBot="1" x14ac:dyDescent="0.35">
      <c r="A490" s="885" t="s">
        <v>286</v>
      </c>
      <c r="B490" s="886"/>
      <c r="C490" s="886"/>
      <c r="D490" s="886"/>
      <c r="E490" s="111">
        <f>SUM(E494)</f>
        <v>0</v>
      </c>
      <c r="F490" s="283">
        <f>SUM(F494)</f>
        <v>10000</v>
      </c>
      <c r="G490" s="283">
        <f>SUM(G494)</f>
        <v>10000</v>
      </c>
      <c r="H490" s="283">
        <f>SUM(H494)</f>
        <v>10000</v>
      </c>
      <c r="I490" s="248">
        <f>AVERAGE(G490/F490*100)</f>
        <v>100</v>
      </c>
      <c r="J490" s="248">
        <f>AVERAGE(H490/G490*100)</f>
        <v>100</v>
      </c>
    </row>
    <row r="491" spans="1:10" s="99" customFormat="1" ht="15.6" x14ac:dyDescent="0.3">
      <c r="A491" s="100"/>
      <c r="B491" s="100"/>
      <c r="C491" s="100"/>
      <c r="D491" s="100"/>
      <c r="E491" s="199"/>
      <c r="F491" s="309"/>
      <c r="G491" s="309"/>
      <c r="H491" s="309"/>
      <c r="I491" s="247"/>
      <c r="J491" s="247"/>
    </row>
    <row r="492" spans="1:10" ht="13.8" x14ac:dyDescent="0.25">
      <c r="B492" s="1"/>
      <c r="C492" s="207"/>
      <c r="D492" s="202" t="s">
        <v>223</v>
      </c>
      <c r="E492" s="116"/>
      <c r="F492" s="285"/>
      <c r="G492" s="285"/>
      <c r="H492" s="285"/>
      <c r="I492" s="257"/>
      <c r="J492" s="257"/>
    </row>
    <row r="493" spans="1:10" ht="13.8" x14ac:dyDescent="0.25">
      <c r="B493" s="1"/>
      <c r="C493" s="207"/>
      <c r="D493" s="238" t="s">
        <v>197</v>
      </c>
      <c r="E493" s="118"/>
      <c r="F493" s="286"/>
      <c r="G493" s="286"/>
      <c r="H493" s="286"/>
      <c r="I493" s="258"/>
      <c r="J493" s="258"/>
    </row>
    <row r="494" spans="1:10" ht="13.8" x14ac:dyDescent="0.25">
      <c r="B494" s="1"/>
      <c r="C494" s="207"/>
      <c r="D494" s="273" t="s">
        <v>340</v>
      </c>
      <c r="E494" s="197">
        <f t="shared" ref="E494:H496" si="72">SUM(E495)</f>
        <v>0</v>
      </c>
      <c r="F494" s="280">
        <f t="shared" si="72"/>
        <v>10000</v>
      </c>
      <c r="G494" s="280">
        <f t="shared" si="72"/>
        <v>10000</v>
      </c>
      <c r="H494" s="280">
        <f t="shared" si="72"/>
        <v>10000</v>
      </c>
      <c r="I494" s="332">
        <f>AVERAGE(G494/F494*100)</f>
        <v>100</v>
      </c>
      <c r="J494" s="332">
        <f>AVERAGE(H494/G494*100)</f>
        <v>100</v>
      </c>
    </row>
    <row r="495" spans="1:10" s="132" customFormat="1" ht="13.8" x14ac:dyDescent="0.25">
      <c r="A495" s="151" t="s">
        <v>292</v>
      </c>
      <c r="B495" s="121"/>
      <c r="C495" s="163">
        <v>32</v>
      </c>
      <c r="D495" s="227" t="s">
        <v>47</v>
      </c>
      <c r="E495" s="123">
        <f t="shared" si="72"/>
        <v>0</v>
      </c>
      <c r="F495" s="288">
        <f t="shared" si="72"/>
        <v>10000</v>
      </c>
      <c r="G495" s="288">
        <v>10000</v>
      </c>
      <c r="H495" s="288">
        <v>10000</v>
      </c>
      <c r="I495" s="330">
        <f t="shared" ref="I495:J497" si="73">AVERAGE(G495/F495*100)</f>
        <v>100</v>
      </c>
      <c r="J495" s="330">
        <f t="shared" si="73"/>
        <v>100</v>
      </c>
    </row>
    <row r="496" spans="1:10" s="150" customFormat="1" ht="13.8" x14ac:dyDescent="0.25">
      <c r="A496" s="151" t="s">
        <v>292</v>
      </c>
      <c r="B496" s="121"/>
      <c r="C496" s="163">
        <v>329</v>
      </c>
      <c r="D496" s="164" t="s">
        <v>65</v>
      </c>
      <c r="E496" s="123">
        <f t="shared" si="72"/>
        <v>0</v>
      </c>
      <c r="F496" s="288">
        <f t="shared" si="72"/>
        <v>10000</v>
      </c>
      <c r="G496" s="288"/>
      <c r="H496" s="288"/>
      <c r="I496" s="330">
        <f t="shared" si="73"/>
        <v>0</v>
      </c>
      <c r="J496" s="330"/>
    </row>
    <row r="497" spans="1:10" s="150" customFormat="1" ht="13.8" hidden="1" x14ac:dyDescent="0.25">
      <c r="A497" s="151" t="s">
        <v>292</v>
      </c>
      <c r="B497" s="125">
        <v>107</v>
      </c>
      <c r="C497" s="165">
        <v>3294</v>
      </c>
      <c r="D497" s="166" t="s">
        <v>287</v>
      </c>
      <c r="E497" s="127">
        <v>0</v>
      </c>
      <c r="F497" s="291">
        <v>10000</v>
      </c>
      <c r="G497" s="291"/>
      <c r="H497" s="291"/>
      <c r="I497" s="330">
        <f t="shared" si="73"/>
        <v>0</v>
      </c>
      <c r="J497" s="330"/>
    </row>
    <row r="498" spans="1:10" s="150" customFormat="1" ht="14.4" thickBot="1" x14ac:dyDescent="0.3">
      <c r="A498" s="129"/>
      <c r="B498" s="129"/>
      <c r="C498" s="172"/>
      <c r="D498" s="173"/>
      <c r="E498" s="131"/>
      <c r="F498" s="293"/>
      <c r="G498" s="293"/>
      <c r="H498" s="293"/>
      <c r="I498" s="252"/>
      <c r="J498" s="252"/>
    </row>
    <row r="499" spans="1:10" s="320" customFormat="1" ht="23.25" customHeight="1" thickBot="1" x14ac:dyDescent="0.3">
      <c r="A499" s="900" t="s">
        <v>110</v>
      </c>
      <c r="B499" s="901"/>
      <c r="C499" s="901"/>
      <c r="D499" s="901"/>
      <c r="E499" s="318">
        <f>SUM(E42+E10+E133+E176+E208+E253+E325+E336+E477)</f>
        <v>5608000</v>
      </c>
      <c r="F499" s="319">
        <f>SUM(F42+F10+F133+F176+F208+F253+F325+F336+F477+F488)</f>
        <v>8864000</v>
      </c>
      <c r="G499" s="319">
        <f>SUM(G42+G10+G133+G176+G208+G253+G325+G336+G477+G488)</f>
        <v>5897500</v>
      </c>
      <c r="H499" s="319">
        <f>SUM(H42+H10+H133+H176+H208+H253+H325+H336+H477+H488)</f>
        <v>6257000</v>
      </c>
      <c r="I499" s="264">
        <f>AVERAGE(G499/F499*100)</f>
        <v>66.53316787003611</v>
      </c>
      <c r="J499" s="264">
        <f>AVERAGE(H499/G499*100)</f>
        <v>106.09580330648581</v>
      </c>
    </row>
    <row r="500" spans="1:10" x14ac:dyDescent="0.25">
      <c r="B500" s="105"/>
      <c r="C500" s="105"/>
      <c r="D500" s="105"/>
      <c r="E500" s="105"/>
      <c r="F500" s="317"/>
      <c r="G500" s="326"/>
      <c r="H500" s="326"/>
      <c r="I500" s="262"/>
      <c r="J500" s="262"/>
    </row>
    <row r="501" spans="1:10" x14ac:dyDescent="0.25">
      <c r="D501" s="158"/>
    </row>
    <row r="502" spans="1:10" x14ac:dyDescent="0.25">
      <c r="D502" s="158"/>
    </row>
    <row r="503" spans="1:10" x14ac:dyDescent="0.25">
      <c r="D503" s="158"/>
    </row>
    <row r="504" spans="1:10" x14ac:dyDescent="0.25">
      <c r="D504" s="158"/>
    </row>
    <row r="505" spans="1:10" x14ac:dyDescent="0.25">
      <c r="D505" s="158"/>
    </row>
    <row r="506" spans="1:10" x14ac:dyDescent="0.25">
      <c r="D506" s="158"/>
    </row>
  </sheetData>
  <mergeCells count="40">
    <mergeCell ref="A255:D255"/>
    <mergeCell ref="A267:D267"/>
    <mergeCell ref="A302:D302"/>
    <mergeCell ref="A10:D10"/>
    <mergeCell ref="A12:D12"/>
    <mergeCell ref="A42:D42"/>
    <mergeCell ref="A44:D44"/>
    <mergeCell ref="A176:D176"/>
    <mergeCell ref="A212:C214"/>
    <mergeCell ref="D238:D239"/>
    <mergeCell ref="A244:D244"/>
    <mergeCell ref="A253:D253"/>
    <mergeCell ref="A313:D313"/>
    <mergeCell ref="A325:D325"/>
    <mergeCell ref="A327:D327"/>
    <mergeCell ref="A499:D499"/>
    <mergeCell ref="A338:D338"/>
    <mergeCell ref="A371:D371"/>
    <mergeCell ref="A414:D414"/>
    <mergeCell ref="A477:D477"/>
    <mergeCell ref="A479:D479"/>
    <mergeCell ref="A488:D488"/>
    <mergeCell ref="A490:D490"/>
    <mergeCell ref="A336:D336"/>
    <mergeCell ref="A2:J2"/>
    <mergeCell ref="A3:J3"/>
    <mergeCell ref="A27:D27"/>
    <mergeCell ref="A167:D167"/>
    <mergeCell ref="I219:I221"/>
    <mergeCell ref="A133:D133"/>
    <mergeCell ref="A135:D135"/>
    <mergeCell ref="A144:D144"/>
    <mergeCell ref="A178:D178"/>
    <mergeCell ref="D182:D183"/>
    <mergeCell ref="J219:J221"/>
    <mergeCell ref="A4:J4"/>
    <mergeCell ref="A199:D199"/>
    <mergeCell ref="A208:D208"/>
    <mergeCell ref="A210:D210"/>
    <mergeCell ref="A8:D8"/>
  </mergeCells>
  <printOptions horizontalCentered="1"/>
  <pageMargins left="0.19685039370078741" right="0.19685039370078741" top="0.28895833333333332" bottom="0.35433070866141736" header="0.12927083333333333" footer="0.31496062992125984"/>
  <pageSetup paperSize="9" scale="73" orientation="portrait" r:id="rId1"/>
  <headerFooter>
    <oddFooter>Stranica &amp;P</oddFooter>
  </headerFooter>
  <rowBreaks count="5" manualBreakCount="5">
    <brk id="114" max="9" man="1"/>
    <brk id="197" max="9" man="1"/>
    <brk id="278" max="9" man="1"/>
    <brk id="368" max="9" man="1"/>
    <brk id="444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V231"/>
  <sheetViews>
    <sheetView view="pageBreakPreview" topLeftCell="A200" zoomScale="120" zoomScaleNormal="120" zoomScaleSheetLayoutView="120" workbookViewId="0">
      <selection activeCell="A177" sqref="A177:XFD188"/>
    </sheetView>
  </sheetViews>
  <sheetFormatPr defaultRowHeight="13.2" x14ac:dyDescent="0.25"/>
  <cols>
    <col min="1" max="1" width="11.33203125" customWidth="1"/>
    <col min="2" max="6" width="2.6640625" hidden="1" customWidth="1"/>
    <col min="7" max="7" width="6.5546875" hidden="1" customWidth="1"/>
    <col min="8" max="8" width="6.44140625" customWidth="1"/>
    <col min="9" max="9" width="35" customWidth="1"/>
    <col min="10" max="10" width="10.109375" hidden="1" customWidth="1"/>
    <col min="11" max="12" width="9.33203125" hidden="1" customWidth="1"/>
    <col min="13" max="14" width="9.109375" hidden="1" customWidth="1"/>
    <col min="15" max="15" width="9.44140625" style="2" customWidth="1"/>
    <col min="16" max="16" width="10.6640625" style="586" hidden="1" customWidth="1"/>
    <col min="17" max="17" width="9.5546875" style="2" customWidth="1"/>
    <col min="18" max="18" width="10.6640625" style="586" hidden="1" customWidth="1"/>
    <col min="19" max="19" width="9.5546875" style="2" customWidth="1"/>
    <col min="20" max="20" width="10.6640625" style="586" hidden="1" customWidth="1"/>
    <col min="21" max="21" width="7" customWidth="1"/>
    <col min="22" max="22" width="6.109375" customWidth="1"/>
  </cols>
  <sheetData>
    <row r="2" spans="1:22" ht="12.75" customHeight="1" x14ac:dyDescent="0.25">
      <c r="A2" s="925" t="s">
        <v>375</v>
      </c>
      <c r="B2" s="925"/>
      <c r="C2" s="925"/>
      <c r="D2" s="925"/>
      <c r="E2" s="925"/>
      <c r="F2" s="925"/>
      <c r="G2" s="925"/>
      <c r="H2" s="925"/>
      <c r="I2" s="925"/>
    </row>
    <row r="3" spans="1:22" ht="12.75" customHeight="1" x14ac:dyDescent="0.25">
      <c r="A3" s="232" t="s">
        <v>376</v>
      </c>
      <c r="B3" s="183"/>
      <c r="C3" s="183"/>
      <c r="D3" s="183"/>
      <c r="E3" s="183"/>
      <c r="F3" s="183"/>
      <c r="G3" s="183"/>
      <c r="H3" s="183"/>
      <c r="I3" s="183"/>
    </row>
    <row r="4" spans="1:22" x14ac:dyDescent="0.25">
      <c r="A4" s="42" t="s">
        <v>377</v>
      </c>
    </row>
    <row r="5" spans="1:22" x14ac:dyDescent="0.25">
      <c r="A5" s="42"/>
    </row>
    <row r="6" spans="1:22" s="230" customFormat="1" ht="12.75" customHeight="1" x14ac:dyDescent="0.25">
      <c r="A6" s="926" t="s">
        <v>610</v>
      </c>
      <c r="B6" s="926"/>
      <c r="C6" s="926"/>
      <c r="D6" s="926"/>
      <c r="E6" s="926"/>
      <c r="F6" s="926"/>
      <c r="G6" s="926"/>
      <c r="H6" s="926"/>
      <c r="I6" s="926"/>
      <c r="J6" s="926"/>
      <c r="K6" s="926"/>
      <c r="L6" s="926"/>
      <c r="M6" s="926"/>
      <c r="N6" s="926"/>
      <c r="O6" s="926"/>
      <c r="P6" s="926"/>
      <c r="Q6" s="926"/>
      <c r="R6" s="926"/>
      <c r="S6" s="926"/>
      <c r="T6" s="926"/>
      <c r="U6" s="926"/>
      <c r="V6" s="926"/>
    </row>
    <row r="7" spans="1:22" s="231" customFormat="1" ht="13.8" x14ac:dyDescent="0.25">
      <c r="A7" s="927" t="s">
        <v>611</v>
      </c>
      <c r="B7" s="927"/>
      <c r="C7" s="927"/>
      <c r="D7" s="927"/>
      <c r="E7" s="927"/>
      <c r="F7" s="927"/>
      <c r="G7" s="927"/>
      <c r="H7" s="927"/>
      <c r="I7" s="927"/>
      <c r="J7" s="927"/>
      <c r="K7" s="927"/>
      <c r="L7" s="927"/>
      <c r="M7" s="927"/>
      <c r="N7" s="927"/>
      <c r="O7" s="927"/>
      <c r="P7" s="927"/>
      <c r="Q7" s="927"/>
      <c r="R7" s="927"/>
      <c r="S7" s="927"/>
      <c r="T7" s="927"/>
      <c r="U7" s="927"/>
      <c r="V7" s="927"/>
    </row>
    <row r="9" spans="1:22" s="136" customFormat="1" ht="13.8" x14ac:dyDescent="0.25">
      <c r="A9" s="928" t="s">
        <v>503</v>
      </c>
      <c r="B9" s="928"/>
      <c r="C9" s="928"/>
      <c r="D9" s="928"/>
      <c r="E9" s="928"/>
      <c r="F9" s="928"/>
      <c r="G9" s="928"/>
      <c r="H9" s="928"/>
      <c r="I9" s="928"/>
      <c r="O9" s="128"/>
      <c r="P9" s="621"/>
      <c r="Q9" s="128"/>
      <c r="R9" s="621"/>
      <c r="S9" s="128"/>
      <c r="T9" s="621"/>
    </row>
    <row r="10" spans="1:22" s="1" customFormat="1" ht="13.8" thickBot="1" x14ac:dyDescent="0.3">
      <c r="A10" s="7"/>
      <c r="B10" s="7"/>
      <c r="C10" s="7"/>
      <c r="D10" s="7"/>
      <c r="E10" s="7"/>
      <c r="F10" s="7"/>
      <c r="G10" s="7"/>
      <c r="H10" s="7"/>
      <c r="I10" s="95"/>
      <c r="J10" s="7"/>
      <c r="K10" s="7"/>
      <c r="L10" s="7"/>
      <c r="M10" s="7"/>
      <c r="N10" s="7"/>
      <c r="O10" s="7"/>
      <c r="P10" s="622"/>
      <c r="Q10" s="7"/>
      <c r="R10" s="622"/>
      <c r="S10" s="7"/>
      <c r="T10" s="622"/>
      <c r="U10" s="7"/>
      <c r="V10" s="7"/>
    </row>
    <row r="11" spans="1:22" s="537" customFormat="1" x14ac:dyDescent="0.25">
      <c r="A11" s="922"/>
      <c r="B11" s="923"/>
      <c r="C11" s="923"/>
      <c r="D11" s="923"/>
      <c r="E11" s="923"/>
      <c r="F11" s="923"/>
      <c r="G11" s="924"/>
      <c r="H11" s="531"/>
      <c r="I11" s="532"/>
      <c r="J11" s="533">
        <v>1</v>
      </c>
      <c r="K11" s="534">
        <v>2</v>
      </c>
      <c r="L11" s="534">
        <v>3</v>
      </c>
      <c r="M11" s="535">
        <v>1</v>
      </c>
      <c r="N11" s="535">
        <v>1</v>
      </c>
      <c r="O11" s="672">
        <v>1</v>
      </c>
      <c r="P11" s="623">
        <v>2</v>
      </c>
      <c r="Q11" s="672">
        <v>3</v>
      </c>
      <c r="R11" s="623">
        <v>4</v>
      </c>
      <c r="S11" s="672">
        <v>5</v>
      </c>
      <c r="T11" s="623">
        <v>6</v>
      </c>
      <c r="U11" s="535">
        <v>7</v>
      </c>
      <c r="V11" s="536">
        <v>8</v>
      </c>
    </row>
    <row r="12" spans="1:22" s="523" customFormat="1" ht="28.2" thickBot="1" x14ac:dyDescent="0.3">
      <c r="A12" s="548"/>
      <c r="B12" s="547" t="s">
        <v>364</v>
      </c>
      <c r="C12" s="538" t="s">
        <v>365</v>
      </c>
      <c r="D12" s="538" t="s">
        <v>366</v>
      </c>
      <c r="E12" s="538" t="s">
        <v>367</v>
      </c>
      <c r="F12" s="538" t="s">
        <v>368</v>
      </c>
      <c r="G12" s="546" t="s">
        <v>369</v>
      </c>
      <c r="H12" s="539"/>
      <c r="I12" s="540"/>
      <c r="J12" s="541" t="s">
        <v>167</v>
      </c>
      <c r="K12" s="542" t="s">
        <v>170</v>
      </c>
      <c r="L12" s="542" t="s">
        <v>169</v>
      </c>
      <c r="M12" s="543" t="s">
        <v>478</v>
      </c>
      <c r="N12" s="543" t="s">
        <v>478</v>
      </c>
      <c r="O12" s="673" t="s">
        <v>593</v>
      </c>
      <c r="P12" s="644" t="s">
        <v>513</v>
      </c>
      <c r="Q12" s="673" t="s">
        <v>594</v>
      </c>
      <c r="R12" s="644" t="s">
        <v>520</v>
      </c>
      <c r="S12" s="673" t="s">
        <v>612</v>
      </c>
      <c r="T12" s="644" t="s">
        <v>523</v>
      </c>
      <c r="U12" s="544" t="s">
        <v>558</v>
      </c>
      <c r="V12" s="545" t="s">
        <v>559</v>
      </c>
    </row>
    <row r="13" spans="1:22" s="78" customFormat="1" ht="20.399999999999999" customHeight="1" thickBot="1" x14ac:dyDescent="0.3">
      <c r="A13" s="930" t="s">
        <v>517</v>
      </c>
      <c r="B13" s="931"/>
      <c r="C13" s="931"/>
      <c r="D13" s="931"/>
      <c r="E13" s="931"/>
      <c r="F13" s="931"/>
      <c r="G13" s="931"/>
      <c r="H13" s="931"/>
      <c r="I13" s="931"/>
      <c r="J13" s="931"/>
      <c r="K13" s="931"/>
      <c r="L13" s="931"/>
      <c r="M13" s="931"/>
      <c r="N13" s="931"/>
      <c r="O13" s="931"/>
      <c r="P13" s="931"/>
      <c r="Q13" s="931"/>
      <c r="R13" s="931"/>
      <c r="S13" s="931"/>
      <c r="T13" s="931"/>
      <c r="U13" s="931"/>
      <c r="V13" s="932"/>
    </row>
    <row r="14" spans="1:22" s="663" customFormat="1" x14ac:dyDescent="0.25">
      <c r="A14" s="657"/>
      <c r="B14" s="658"/>
      <c r="C14" s="658"/>
      <c r="D14" s="658"/>
      <c r="E14" s="658"/>
      <c r="F14" s="658"/>
      <c r="G14" s="658"/>
      <c r="H14" s="659"/>
      <c r="I14" s="660" t="s">
        <v>360</v>
      </c>
      <c r="J14" s="660"/>
      <c r="K14" s="660"/>
      <c r="L14" s="660"/>
      <c r="M14" s="661">
        <f t="shared" ref="M14:P14" si="0">M15+M16</f>
        <v>10029500</v>
      </c>
      <c r="N14" s="661">
        <f t="shared" si="0"/>
        <v>1331143.406994492</v>
      </c>
      <c r="O14" s="661">
        <f t="shared" si="0"/>
        <v>2698600</v>
      </c>
      <c r="P14" s="662">
        <f t="shared" si="0"/>
        <v>20332601.699999999</v>
      </c>
      <c r="Q14" s="661">
        <f t="shared" ref="Q14:T14" si="1">Q15+Q16</f>
        <v>2916425</v>
      </c>
      <c r="R14" s="662">
        <f t="shared" ref="R14" si="2">R15+R16</f>
        <v>21973804.162500001</v>
      </c>
      <c r="S14" s="661">
        <f t="shared" si="1"/>
        <v>3210700</v>
      </c>
      <c r="T14" s="662">
        <f t="shared" si="1"/>
        <v>24191019.150000002</v>
      </c>
      <c r="U14" s="708">
        <f t="shared" ref="U14" si="3">Q14/O14*100</f>
        <v>108.07177795894167</v>
      </c>
      <c r="V14" s="709">
        <f>S14/Q14*100</f>
        <v>110.09026462192581</v>
      </c>
    </row>
    <row r="15" spans="1:22" s="1" customFormat="1" x14ac:dyDescent="0.25">
      <c r="A15" s="358"/>
      <c r="B15" s="359"/>
      <c r="C15" s="359" t="s">
        <v>365</v>
      </c>
      <c r="D15" s="359" t="s">
        <v>366</v>
      </c>
      <c r="E15" s="359" t="s">
        <v>367</v>
      </c>
      <c r="F15" s="359" t="s">
        <v>368</v>
      </c>
      <c r="G15" s="359"/>
      <c r="H15" s="26">
        <v>6</v>
      </c>
      <c r="I15" s="5" t="s">
        <v>1</v>
      </c>
      <c r="J15" s="12" t="e">
        <f t="shared" ref="J15:M15" si="4">SUM(J38)</f>
        <v>#REF!</v>
      </c>
      <c r="K15" s="12" t="e">
        <f t="shared" si="4"/>
        <v>#REF!</v>
      </c>
      <c r="L15" s="12" t="e">
        <f t="shared" si="4"/>
        <v>#REF!</v>
      </c>
      <c r="M15" s="11">
        <f t="shared" si="4"/>
        <v>9929500</v>
      </c>
      <c r="N15" s="11">
        <f t="shared" ref="N15:O15" si="5">SUM(N38)</f>
        <v>1317871.1261530295</v>
      </c>
      <c r="O15" s="16">
        <f t="shared" si="5"/>
        <v>2698600</v>
      </c>
      <c r="P15" s="647">
        <f t="shared" ref="P15:Q15" si="6">SUM(P38)</f>
        <v>20332601.699999999</v>
      </c>
      <c r="Q15" s="16">
        <f t="shared" si="6"/>
        <v>2916425</v>
      </c>
      <c r="R15" s="647">
        <f>Q15*7.5345</f>
        <v>21973804.162500001</v>
      </c>
      <c r="S15" s="16">
        <f t="shared" ref="S15" si="7">SUM(S38)</f>
        <v>3210700</v>
      </c>
      <c r="T15" s="647">
        <f t="shared" ref="T15:T16" si="8">S15*7.5345</f>
        <v>24191019.150000002</v>
      </c>
      <c r="U15" s="48">
        <f t="shared" ref="U15" si="9">Q15/O15*100</f>
        <v>108.07177795894167</v>
      </c>
      <c r="V15" s="700">
        <f>S15/Q15*100</f>
        <v>110.09026462192581</v>
      </c>
    </row>
    <row r="16" spans="1:22" s="1" customFormat="1" ht="13.8" thickBot="1" x14ac:dyDescent="0.3">
      <c r="A16" s="360"/>
      <c r="B16" s="361"/>
      <c r="C16" s="361" t="s">
        <v>365</v>
      </c>
      <c r="D16" s="361"/>
      <c r="E16" s="361"/>
      <c r="F16" s="361"/>
      <c r="G16" s="361"/>
      <c r="H16" s="351">
        <v>7</v>
      </c>
      <c r="I16" s="352" t="s">
        <v>2</v>
      </c>
      <c r="J16" s="353" t="e">
        <f t="shared" ref="J16:M16" si="10">SUM(J94)</f>
        <v>#REF!</v>
      </c>
      <c r="K16" s="353" t="e">
        <f t="shared" si="10"/>
        <v>#REF!</v>
      </c>
      <c r="L16" s="353" t="e">
        <f t="shared" si="10"/>
        <v>#REF!</v>
      </c>
      <c r="M16" s="354">
        <f t="shared" si="10"/>
        <v>100000</v>
      </c>
      <c r="N16" s="354">
        <f t="shared" ref="N16:O16" si="11">SUM(N94)</f>
        <v>13272.280841462605</v>
      </c>
      <c r="O16" s="34">
        <f t="shared" si="11"/>
        <v>0</v>
      </c>
      <c r="P16" s="652">
        <f t="shared" ref="P16:Q16" si="12">SUM(P94)</f>
        <v>0</v>
      </c>
      <c r="Q16" s="34">
        <f t="shared" si="12"/>
        <v>0</v>
      </c>
      <c r="R16" s="647">
        <f>Q16*7.5345</f>
        <v>0</v>
      </c>
      <c r="S16" s="34">
        <f t="shared" ref="S16" si="13">SUM(S94)</f>
        <v>0</v>
      </c>
      <c r="T16" s="647">
        <f t="shared" si="8"/>
        <v>0</v>
      </c>
      <c r="U16" s="54">
        <v>0</v>
      </c>
      <c r="V16" s="696">
        <v>0</v>
      </c>
    </row>
    <row r="17" spans="1:22" s="663" customFormat="1" x14ac:dyDescent="0.25">
      <c r="A17" s="657"/>
      <c r="B17" s="658"/>
      <c r="C17" s="658"/>
      <c r="D17" s="658"/>
      <c r="E17" s="658"/>
      <c r="F17" s="658"/>
      <c r="G17" s="658"/>
      <c r="H17" s="659"/>
      <c r="I17" s="660" t="s">
        <v>361</v>
      </c>
      <c r="J17" s="660"/>
      <c r="K17" s="660"/>
      <c r="L17" s="660"/>
      <c r="M17" s="661" t="e">
        <f t="shared" ref="M17:P17" si="14">M18+M19</f>
        <v>#REF!</v>
      </c>
      <c r="N17" s="661" t="e">
        <f t="shared" si="14"/>
        <v>#REF!</v>
      </c>
      <c r="O17" s="661">
        <f t="shared" si="14"/>
        <v>3156450</v>
      </c>
      <c r="P17" s="662" t="e">
        <f t="shared" si="14"/>
        <v>#REF!</v>
      </c>
      <c r="Q17" s="661">
        <f t="shared" ref="Q17:T17" si="15">Q18+Q19</f>
        <v>3242750</v>
      </c>
      <c r="R17" s="662">
        <f t="shared" ref="R17" si="16">R18+R19</f>
        <v>24432499.875</v>
      </c>
      <c r="S17" s="661">
        <f t="shared" si="15"/>
        <v>3334751</v>
      </c>
      <c r="T17" s="662">
        <f t="shared" si="15"/>
        <v>25125681.409500003</v>
      </c>
      <c r="U17" s="708">
        <f t="shared" ref="U17:U20" si="17">Q17/O17*100</f>
        <v>102.73408417684425</v>
      </c>
      <c r="V17" s="709">
        <f>S17/Q17*100</f>
        <v>102.83712898003239</v>
      </c>
    </row>
    <row r="18" spans="1:22" s="1" customFormat="1" x14ac:dyDescent="0.25">
      <c r="A18" s="358"/>
      <c r="B18" s="359"/>
      <c r="C18" s="359" t="s">
        <v>365</v>
      </c>
      <c r="D18" s="359" t="s">
        <v>366</v>
      </c>
      <c r="E18" s="359" t="s">
        <v>367</v>
      </c>
      <c r="F18" s="359" t="s">
        <v>368</v>
      </c>
      <c r="G18" s="359"/>
      <c r="H18" s="26">
        <v>3</v>
      </c>
      <c r="I18" s="5" t="s">
        <v>3</v>
      </c>
      <c r="J18" s="12" t="e">
        <f t="shared" ref="J18:M18" si="18">SUM(J97)</f>
        <v>#REF!</v>
      </c>
      <c r="K18" s="12" t="e">
        <f t="shared" si="18"/>
        <v>#REF!</v>
      </c>
      <c r="L18" s="12" t="e">
        <f t="shared" si="18"/>
        <v>#REF!</v>
      </c>
      <c r="M18" s="11" t="e">
        <f t="shared" si="18"/>
        <v>#REF!</v>
      </c>
      <c r="N18" s="11" t="e">
        <f t="shared" ref="N18:O18" si="19">SUM(N97)</f>
        <v>#REF!</v>
      </c>
      <c r="O18" s="16">
        <f t="shared" si="19"/>
        <v>1580950</v>
      </c>
      <c r="P18" s="647" t="e">
        <f t="shared" ref="P18:Q18" si="20">SUM(P97)</f>
        <v>#REF!</v>
      </c>
      <c r="Q18" s="16">
        <f t="shared" si="20"/>
        <v>1586250</v>
      </c>
      <c r="R18" s="647">
        <f>Q18*7.5345</f>
        <v>11951600.625</v>
      </c>
      <c r="S18" s="16">
        <f t="shared" ref="S18" si="21">SUM(S97)</f>
        <v>1663251</v>
      </c>
      <c r="T18" s="647">
        <f t="shared" ref="T18:T19" si="22">S18*7.5345</f>
        <v>12531764.659500001</v>
      </c>
      <c r="U18" s="48">
        <f t="shared" si="17"/>
        <v>100.33524146873715</v>
      </c>
      <c r="V18" s="700">
        <f>S18/Q18*100</f>
        <v>104.85427895981087</v>
      </c>
    </row>
    <row r="19" spans="1:22" s="1" customFormat="1" ht="13.8" thickBot="1" x14ac:dyDescent="0.3">
      <c r="A19" s="360"/>
      <c r="B19" s="361"/>
      <c r="C19" s="361" t="s">
        <v>365</v>
      </c>
      <c r="D19" s="361" t="s">
        <v>366</v>
      </c>
      <c r="E19" s="361"/>
      <c r="F19" s="361" t="s">
        <v>368</v>
      </c>
      <c r="G19" s="361"/>
      <c r="H19" s="351">
        <v>4</v>
      </c>
      <c r="I19" s="352" t="s">
        <v>4</v>
      </c>
      <c r="J19" s="353" t="e">
        <f t="shared" ref="J19:L19" si="23">SUM(J170)</f>
        <v>#REF!</v>
      </c>
      <c r="K19" s="353" t="e">
        <f t="shared" si="23"/>
        <v>#REF!</v>
      </c>
      <c r="L19" s="353" t="e">
        <f t="shared" si="23"/>
        <v>#REF!</v>
      </c>
      <c r="M19" s="354" t="e">
        <f t="shared" ref="M19:Q19" si="24">SUM(M170)</f>
        <v>#REF!</v>
      </c>
      <c r="N19" s="354" t="e">
        <f t="shared" si="24"/>
        <v>#REF!</v>
      </c>
      <c r="O19" s="34">
        <f t="shared" si="24"/>
        <v>1575500</v>
      </c>
      <c r="P19" s="652" t="e">
        <f t="shared" si="24"/>
        <v>#REF!</v>
      </c>
      <c r="Q19" s="34">
        <f t="shared" si="24"/>
        <v>1656500</v>
      </c>
      <c r="R19" s="652">
        <f>Q19*7.5345</f>
        <v>12480899.25</v>
      </c>
      <c r="S19" s="34">
        <f t="shared" ref="S19" si="25">SUM(S170)</f>
        <v>1671500</v>
      </c>
      <c r="T19" s="652">
        <f t="shared" si="22"/>
        <v>12593916.75</v>
      </c>
      <c r="U19" s="54">
        <f t="shared" si="17"/>
        <v>105.141225007934</v>
      </c>
      <c r="V19" s="55">
        <f>S19/Q19*100</f>
        <v>100.90552369453667</v>
      </c>
    </row>
    <row r="20" spans="1:22" s="1" customFormat="1" x14ac:dyDescent="0.25">
      <c r="A20" s="362"/>
      <c r="B20" s="363"/>
      <c r="C20" s="363"/>
      <c r="D20" s="363"/>
      <c r="E20" s="363"/>
      <c r="F20" s="363"/>
      <c r="G20" s="363"/>
      <c r="H20" s="355"/>
      <c r="I20" s="356" t="s">
        <v>166</v>
      </c>
      <c r="J20" s="348" t="e">
        <f t="shared" ref="J20:M20" si="26">J15+J16-J18-J19</f>
        <v>#REF!</v>
      </c>
      <c r="K20" s="348" t="e">
        <f t="shared" si="26"/>
        <v>#REF!</v>
      </c>
      <c r="L20" s="348" t="e">
        <f t="shared" si="26"/>
        <v>#REF!</v>
      </c>
      <c r="M20" s="357" t="e">
        <f t="shared" si="26"/>
        <v>#REF!</v>
      </c>
      <c r="N20" s="357" t="e">
        <f t="shared" ref="N20:O20" si="27">N15+N16-N18-N19</f>
        <v>#REF!</v>
      </c>
      <c r="O20" s="17">
        <f t="shared" si="27"/>
        <v>-457850</v>
      </c>
      <c r="P20" s="649" t="e">
        <f t="shared" ref="P20:Q20" si="28">P15+P16-P18-P19</f>
        <v>#REF!</v>
      </c>
      <c r="Q20" s="17">
        <f t="shared" si="28"/>
        <v>-326325</v>
      </c>
      <c r="R20" s="649">
        <f>R15+R16-R18-R19</f>
        <v>-2458695.7124999985</v>
      </c>
      <c r="S20" s="17">
        <f t="shared" ref="S20:T20" si="29">S15+S16-S18-S19</f>
        <v>-124051</v>
      </c>
      <c r="T20" s="649">
        <f t="shared" si="29"/>
        <v>-934662.25949999876</v>
      </c>
      <c r="U20" s="48">
        <f t="shared" si="17"/>
        <v>71.273342797859556</v>
      </c>
      <c r="V20" s="700">
        <f>S20/Q20*100</f>
        <v>38.014556040756915</v>
      </c>
    </row>
    <row r="21" spans="1:22" s="1" customFormat="1" x14ac:dyDescent="0.25">
      <c r="A21" s="667"/>
      <c r="B21" s="666"/>
      <c r="C21" s="359"/>
      <c r="D21" s="359"/>
      <c r="E21" s="359"/>
      <c r="F21" s="359"/>
      <c r="G21" s="664"/>
      <c r="H21" s="665"/>
      <c r="I21" s="665"/>
      <c r="J21" s="668"/>
      <c r="K21" s="5"/>
      <c r="L21" s="14"/>
      <c r="M21" s="669"/>
      <c r="N21" s="669"/>
      <c r="O21" s="669"/>
      <c r="P21" s="670"/>
      <c r="Q21" s="669"/>
      <c r="R21" s="670"/>
      <c r="S21" s="669"/>
      <c r="T21" s="670"/>
      <c r="U21" s="671"/>
      <c r="V21" s="31"/>
    </row>
    <row r="22" spans="1:22" s="78" customFormat="1" ht="20.399999999999999" customHeight="1" x14ac:dyDescent="0.25">
      <c r="A22" s="933" t="s">
        <v>518</v>
      </c>
      <c r="B22" s="934"/>
      <c r="C22" s="934"/>
      <c r="D22" s="934"/>
      <c r="E22" s="934"/>
      <c r="F22" s="934"/>
      <c r="G22" s="934"/>
      <c r="H22" s="934"/>
      <c r="I22" s="934"/>
      <c r="J22" s="934"/>
      <c r="K22" s="934"/>
      <c r="L22" s="934"/>
      <c r="M22" s="934"/>
      <c r="N22" s="934"/>
      <c r="O22" s="934"/>
      <c r="P22" s="934"/>
      <c r="Q22" s="934"/>
      <c r="R22" s="934"/>
      <c r="S22" s="934"/>
      <c r="T22" s="934"/>
      <c r="U22" s="934"/>
      <c r="V22" s="935"/>
    </row>
    <row r="23" spans="1:22" s="1" customFormat="1" x14ac:dyDescent="0.25">
      <c r="A23" s="358"/>
      <c r="B23" s="359"/>
      <c r="C23" s="359"/>
      <c r="D23" s="359"/>
      <c r="E23" s="359"/>
      <c r="F23" s="359"/>
      <c r="G23" s="359"/>
      <c r="H23" s="26">
        <v>8</v>
      </c>
      <c r="I23" s="5" t="s">
        <v>6</v>
      </c>
      <c r="J23" s="12">
        <f t="shared" ref="J23:M23" si="30">SUM(J196)</f>
        <v>2721893</v>
      </c>
      <c r="K23" s="12">
        <f t="shared" si="30"/>
        <v>0</v>
      </c>
      <c r="L23" s="12">
        <f t="shared" si="30"/>
        <v>0</v>
      </c>
      <c r="M23" s="11">
        <f t="shared" si="30"/>
        <v>0</v>
      </c>
      <c r="N23" s="11">
        <f t="shared" ref="N23:O23" si="31">SUM(N196)</f>
        <v>0</v>
      </c>
      <c r="O23" s="16">
        <f t="shared" si="31"/>
        <v>0</v>
      </c>
      <c r="P23" s="647">
        <f t="shared" ref="P23:R23" si="32">SUM(P196)</f>
        <v>0</v>
      </c>
      <c r="Q23" s="16">
        <f t="shared" si="32"/>
        <v>0</v>
      </c>
      <c r="R23" s="647">
        <f t="shared" si="32"/>
        <v>0</v>
      </c>
      <c r="S23" s="16">
        <f t="shared" ref="S23:T23" si="33">SUM(S196)</f>
        <v>0</v>
      </c>
      <c r="T23" s="647">
        <f t="shared" si="33"/>
        <v>0</v>
      </c>
      <c r="U23" s="342">
        <v>0</v>
      </c>
      <c r="V23" s="53">
        <v>0</v>
      </c>
    </row>
    <row r="24" spans="1:22" s="1" customFormat="1" x14ac:dyDescent="0.25">
      <c r="A24" s="358"/>
      <c r="B24" s="359"/>
      <c r="C24" s="359"/>
      <c r="D24" s="359"/>
      <c r="E24" s="359"/>
      <c r="F24" s="359"/>
      <c r="G24" s="359"/>
      <c r="H24" s="26">
        <v>5</v>
      </c>
      <c r="I24" s="5" t="s">
        <v>150</v>
      </c>
      <c r="J24" s="12">
        <f t="shared" ref="J24:M24" si="34">SUM(J203)</f>
        <v>0</v>
      </c>
      <c r="K24" s="12">
        <f t="shared" si="34"/>
        <v>0</v>
      </c>
      <c r="L24" s="12">
        <f t="shared" si="34"/>
        <v>0</v>
      </c>
      <c r="M24" s="11" t="e">
        <f t="shared" si="34"/>
        <v>#REF!</v>
      </c>
      <c r="N24" s="11" t="e">
        <f t="shared" ref="N24:O24" si="35">SUM(N203)</f>
        <v>#REF!</v>
      </c>
      <c r="O24" s="16">
        <f t="shared" si="35"/>
        <v>0</v>
      </c>
      <c r="P24" s="647" t="e">
        <f t="shared" ref="P24:R24" si="36">SUM(P203)</f>
        <v>#REF!</v>
      </c>
      <c r="Q24" s="16">
        <f t="shared" si="36"/>
        <v>0</v>
      </c>
      <c r="R24" s="647" t="e">
        <f t="shared" si="36"/>
        <v>#REF!</v>
      </c>
      <c r="S24" s="16">
        <f t="shared" ref="S24:T24" si="37">SUM(S203)</f>
        <v>0</v>
      </c>
      <c r="T24" s="647" t="e">
        <f t="shared" si="37"/>
        <v>#REF!</v>
      </c>
      <c r="U24" s="342">
        <v>0</v>
      </c>
      <c r="V24" s="53">
        <v>0</v>
      </c>
    </row>
    <row r="25" spans="1:22" s="1" customFormat="1" x14ac:dyDescent="0.25">
      <c r="A25" s="358"/>
      <c r="B25" s="359"/>
      <c r="C25" s="359"/>
      <c r="D25" s="359"/>
      <c r="E25" s="359"/>
      <c r="F25" s="359"/>
      <c r="G25" s="359"/>
      <c r="H25" s="26"/>
      <c r="I25" s="5" t="s">
        <v>7</v>
      </c>
      <c r="J25" s="12">
        <f t="shared" ref="J25:M25" si="38">J23-J24</f>
        <v>2721893</v>
      </c>
      <c r="K25" s="12">
        <f t="shared" si="38"/>
        <v>0</v>
      </c>
      <c r="L25" s="12">
        <f t="shared" si="38"/>
        <v>0</v>
      </c>
      <c r="M25" s="11" t="e">
        <f t="shared" si="38"/>
        <v>#REF!</v>
      </c>
      <c r="N25" s="11" t="e">
        <f t="shared" ref="N25:O25" si="39">N23-N24</f>
        <v>#REF!</v>
      </c>
      <c r="O25" s="16">
        <f t="shared" si="39"/>
        <v>0</v>
      </c>
      <c r="P25" s="647" t="e">
        <f t="shared" ref="P25:R25" si="40">P23-P24</f>
        <v>#REF!</v>
      </c>
      <c r="Q25" s="16">
        <f t="shared" si="40"/>
        <v>0</v>
      </c>
      <c r="R25" s="647" t="e">
        <f t="shared" si="40"/>
        <v>#REF!</v>
      </c>
      <c r="S25" s="16">
        <f t="shared" ref="S25:T25" si="41">S23-S24</f>
        <v>0</v>
      </c>
      <c r="T25" s="647" t="e">
        <f t="shared" si="41"/>
        <v>#REF!</v>
      </c>
      <c r="U25" s="342">
        <v>0</v>
      </c>
      <c r="V25" s="53">
        <v>0</v>
      </c>
    </row>
    <row r="26" spans="1:22" s="1" customFormat="1" x14ac:dyDescent="0.25">
      <c r="A26" s="667"/>
      <c r="B26" s="666"/>
      <c r="C26" s="359"/>
      <c r="D26" s="359"/>
      <c r="E26" s="359"/>
      <c r="F26" s="359"/>
      <c r="G26" s="664"/>
      <c r="H26" s="665"/>
      <c r="I26" s="665"/>
      <c r="J26" s="668"/>
      <c r="K26" s="13"/>
      <c r="L26" s="14"/>
      <c r="M26" s="669"/>
      <c r="N26" s="669"/>
      <c r="O26" s="669"/>
      <c r="P26" s="670"/>
      <c r="Q26" s="669"/>
      <c r="R26" s="670"/>
      <c r="S26" s="669"/>
      <c r="T26" s="670"/>
      <c r="U26" s="671"/>
      <c r="V26" s="31"/>
    </row>
    <row r="27" spans="1:22" s="78" customFormat="1" ht="21.6" customHeight="1" x14ac:dyDescent="0.25">
      <c r="A27" s="936" t="s">
        <v>519</v>
      </c>
      <c r="B27" s="937"/>
      <c r="C27" s="937"/>
      <c r="D27" s="937"/>
      <c r="E27" s="937"/>
      <c r="F27" s="937"/>
      <c r="G27" s="937"/>
      <c r="H27" s="937"/>
      <c r="I27" s="937"/>
      <c r="J27" s="937"/>
      <c r="K27" s="937"/>
      <c r="L27" s="937"/>
      <c r="M27" s="937"/>
      <c r="N27" s="937"/>
      <c r="O27" s="937"/>
      <c r="P27" s="937"/>
      <c r="Q27" s="937"/>
      <c r="R27" s="937"/>
      <c r="S27" s="937"/>
      <c r="T27" s="937"/>
      <c r="U27" s="937"/>
      <c r="V27" s="938"/>
    </row>
    <row r="28" spans="1:22" s="1" customFormat="1" x14ac:dyDescent="0.25">
      <c r="A28" s="358"/>
      <c r="B28" s="359"/>
      <c r="C28" s="359"/>
      <c r="D28" s="359"/>
      <c r="E28" s="359"/>
      <c r="F28" s="359"/>
      <c r="G28" s="359"/>
      <c r="H28" s="26">
        <v>9</v>
      </c>
      <c r="I28" s="38" t="s">
        <v>475</v>
      </c>
      <c r="J28" s="12">
        <f t="shared" ref="J28:M28" si="42">SUM(J215)</f>
        <v>610476</v>
      </c>
      <c r="K28" s="12">
        <f t="shared" si="42"/>
        <v>0</v>
      </c>
      <c r="L28" s="12">
        <f t="shared" si="42"/>
        <v>0</v>
      </c>
      <c r="M28" s="11">
        <f t="shared" si="42"/>
        <v>0</v>
      </c>
      <c r="N28" s="11">
        <f t="shared" ref="N28" si="43">SUM(N215)</f>
        <v>0</v>
      </c>
      <c r="O28" s="16">
        <v>460000</v>
      </c>
      <c r="P28" s="647">
        <f t="shared" ref="P28:R29" si="44">SUM(P215)</f>
        <v>2260350</v>
      </c>
      <c r="Q28" s="16">
        <v>350000</v>
      </c>
      <c r="R28" s="647">
        <f t="shared" si="44"/>
        <v>753450</v>
      </c>
      <c r="S28" s="16">
        <v>170000</v>
      </c>
      <c r="T28" s="647">
        <f t="shared" ref="T28" si="45">SUM(T215)</f>
        <v>0</v>
      </c>
      <c r="U28" s="48"/>
      <c r="V28" s="53"/>
    </row>
    <row r="29" spans="1:22" s="1" customFormat="1" x14ac:dyDescent="0.25">
      <c r="A29" s="358"/>
      <c r="B29" s="359"/>
      <c r="C29" s="359"/>
      <c r="D29" s="359"/>
      <c r="E29" s="359"/>
      <c r="F29" s="359"/>
      <c r="G29" s="359"/>
      <c r="H29" s="26"/>
      <c r="I29" s="349" t="s">
        <v>474</v>
      </c>
      <c r="J29" s="13"/>
      <c r="K29" s="5"/>
      <c r="L29" s="13"/>
      <c r="M29" s="11">
        <v>0</v>
      </c>
      <c r="N29" s="16">
        <f>M29/7.5345</f>
        <v>0</v>
      </c>
      <c r="O29" s="16">
        <v>457850</v>
      </c>
      <c r="P29" s="647">
        <f t="shared" ref="P29" si="46">O29*7.5345</f>
        <v>3449670.8250000002</v>
      </c>
      <c r="Q29" s="16">
        <v>326325</v>
      </c>
      <c r="R29" s="647">
        <f t="shared" si="44"/>
        <v>753450</v>
      </c>
      <c r="S29" s="16">
        <v>124051</v>
      </c>
      <c r="T29" s="647">
        <v>0</v>
      </c>
      <c r="U29" s="48">
        <f t="shared" ref="U29" si="47">Q29/O29*100</f>
        <v>71.273342797859556</v>
      </c>
      <c r="V29" s="697">
        <v>0</v>
      </c>
    </row>
    <row r="30" spans="1:22" s="78" customFormat="1" ht="27" customHeight="1" thickBot="1" x14ac:dyDescent="0.3">
      <c r="A30" s="364"/>
      <c r="B30" s="365"/>
      <c r="C30" s="365"/>
      <c r="D30" s="365"/>
      <c r="E30" s="365"/>
      <c r="F30" s="365"/>
      <c r="G30" s="365"/>
      <c r="H30" s="920" t="s">
        <v>9</v>
      </c>
      <c r="I30" s="921"/>
      <c r="J30" s="93" t="e">
        <f>J20+J25+J28</f>
        <v>#REF!</v>
      </c>
      <c r="K30" s="93" t="e">
        <f>K20+K25+K28</f>
        <v>#REF!</v>
      </c>
      <c r="L30" s="93" t="e">
        <f>L20+L25+L28</f>
        <v>#REF!</v>
      </c>
      <c r="M30" s="345" t="e">
        <f t="shared" ref="M30:P30" si="48">M20+M25+M29</f>
        <v>#REF!</v>
      </c>
      <c r="N30" s="345" t="e">
        <f t="shared" si="48"/>
        <v>#REF!</v>
      </c>
      <c r="O30" s="93">
        <f>O20+O25+O29</f>
        <v>0</v>
      </c>
      <c r="P30" s="653" t="e">
        <f t="shared" si="48"/>
        <v>#REF!</v>
      </c>
      <c r="Q30" s="93">
        <f>Q20+Q25+Q29</f>
        <v>0</v>
      </c>
      <c r="R30" s="653" t="e">
        <f>R20+R25+R29</f>
        <v>#REF!</v>
      </c>
      <c r="S30" s="93">
        <f t="shared" ref="S30" si="49">S20+S25+S29</f>
        <v>0</v>
      </c>
      <c r="T30" s="653" t="e">
        <f>T20+T25+T29</f>
        <v>#REF!</v>
      </c>
      <c r="U30" s="343"/>
      <c r="V30" s="344"/>
    </row>
    <row r="31" spans="1:22" s="1" customFormat="1" x14ac:dyDescent="0.25">
      <c r="A31" s="366"/>
      <c r="B31" s="366"/>
      <c r="C31" s="366"/>
      <c r="D31" s="366"/>
      <c r="E31" s="366"/>
      <c r="F31" s="366"/>
      <c r="G31" s="366"/>
      <c r="H31" s="43"/>
      <c r="I31" s="7"/>
      <c r="J31" s="44"/>
      <c r="K31" s="44"/>
      <c r="L31" s="44"/>
      <c r="M31" s="44"/>
      <c r="N31" s="44"/>
      <c r="O31" s="44"/>
      <c r="P31" s="627"/>
      <c r="Q31" s="44"/>
      <c r="R31" s="627"/>
      <c r="S31" s="44"/>
      <c r="T31" s="627"/>
      <c r="U31" s="45"/>
      <c r="V31" s="46"/>
    </row>
    <row r="32" spans="1:22" s="1" customFormat="1" ht="27.6" customHeight="1" x14ac:dyDescent="0.25">
      <c r="A32" s="929" t="s">
        <v>516</v>
      </c>
      <c r="B32" s="929"/>
      <c r="C32" s="929"/>
      <c r="D32" s="929"/>
      <c r="E32" s="929"/>
      <c r="F32" s="929"/>
      <c r="G32" s="929"/>
      <c r="H32" s="929"/>
      <c r="I32" s="929"/>
      <c r="J32" s="929"/>
      <c r="K32" s="929"/>
      <c r="L32" s="929"/>
      <c r="M32" s="929"/>
      <c r="N32" s="929"/>
      <c r="O32" s="929"/>
      <c r="P32" s="929"/>
      <c r="Q32" s="929"/>
      <c r="R32" s="929"/>
      <c r="S32" s="929"/>
      <c r="T32" s="929"/>
      <c r="U32" s="929"/>
      <c r="V32" s="929"/>
    </row>
    <row r="33" spans="1:22" ht="6" customHeight="1" thickBot="1" x14ac:dyDescent="0.3">
      <c r="A33" s="366"/>
      <c r="B33" s="366"/>
      <c r="C33" s="366"/>
      <c r="D33" s="366"/>
      <c r="E33" s="366"/>
      <c r="F33" s="366"/>
      <c r="G33" s="366"/>
      <c r="H33" s="6"/>
      <c r="I33" s="6"/>
      <c r="J33" s="6"/>
      <c r="K33" s="6"/>
      <c r="L33" s="6"/>
      <c r="M33" s="6"/>
      <c r="N33" s="6"/>
      <c r="O33" s="6"/>
      <c r="P33" s="628"/>
      <c r="Q33" s="6"/>
      <c r="R33" s="628"/>
      <c r="S33" s="6"/>
      <c r="T33" s="628"/>
      <c r="U33" s="6"/>
      <c r="V33" s="6"/>
    </row>
    <row r="34" spans="1:22" s="523" customFormat="1" ht="26.4" x14ac:dyDescent="0.25">
      <c r="A34" s="516" t="s">
        <v>502</v>
      </c>
      <c r="B34" s="517"/>
      <c r="C34" s="517"/>
      <c r="D34" s="517"/>
      <c r="E34" s="517"/>
      <c r="F34" s="517"/>
      <c r="G34" s="517"/>
      <c r="H34" s="518" t="s">
        <v>10</v>
      </c>
      <c r="I34" s="519" t="s">
        <v>11</v>
      </c>
      <c r="J34" s="520" t="s">
        <v>167</v>
      </c>
      <c r="K34" s="520" t="s">
        <v>168</v>
      </c>
      <c r="L34" s="520" t="s">
        <v>169</v>
      </c>
      <c r="M34" s="521" t="s">
        <v>478</v>
      </c>
      <c r="N34" s="521" t="s">
        <v>478</v>
      </c>
      <c r="O34" s="674" t="s">
        <v>613</v>
      </c>
      <c r="P34" s="643" t="s">
        <v>513</v>
      </c>
      <c r="Q34" s="674" t="s">
        <v>614</v>
      </c>
      <c r="R34" s="643" t="s">
        <v>520</v>
      </c>
      <c r="S34" s="674" t="s">
        <v>615</v>
      </c>
      <c r="T34" s="643" t="s">
        <v>523</v>
      </c>
      <c r="U34" s="522" t="s">
        <v>558</v>
      </c>
      <c r="V34" s="694" t="s">
        <v>559</v>
      </c>
    </row>
    <row r="35" spans="1:22" s="530" customFormat="1" ht="10.8" thickBot="1" x14ac:dyDescent="0.25">
      <c r="A35" s="524"/>
      <c r="B35" s="525"/>
      <c r="C35" s="525"/>
      <c r="D35" s="525"/>
      <c r="E35" s="525"/>
      <c r="F35" s="525"/>
      <c r="G35" s="525"/>
      <c r="H35" s="526"/>
      <c r="I35" s="527"/>
      <c r="J35" s="528"/>
      <c r="K35" s="528"/>
      <c r="L35" s="528"/>
      <c r="M35" s="528"/>
      <c r="N35" s="528"/>
      <c r="O35" s="675">
        <v>1</v>
      </c>
      <c r="P35" s="629">
        <v>2</v>
      </c>
      <c r="Q35" s="675">
        <v>3</v>
      </c>
      <c r="R35" s="629">
        <v>4</v>
      </c>
      <c r="S35" s="675">
        <v>5</v>
      </c>
      <c r="T35" s="629">
        <v>6</v>
      </c>
      <c r="U35" s="529">
        <v>7</v>
      </c>
      <c r="V35" s="695">
        <v>8</v>
      </c>
    </row>
    <row r="36" spans="1:22" s="556" customFormat="1" ht="10.8" thickBot="1" x14ac:dyDescent="0.25">
      <c r="A36" s="557"/>
      <c r="B36" s="555"/>
      <c r="C36" s="555"/>
      <c r="D36" s="555"/>
      <c r="E36" s="555"/>
      <c r="F36" s="555"/>
      <c r="G36" s="555"/>
      <c r="H36" s="563"/>
      <c r="I36" s="564"/>
      <c r="J36" s="565"/>
      <c r="K36" s="565"/>
      <c r="L36" s="565"/>
      <c r="M36" s="565"/>
      <c r="N36" s="565"/>
      <c r="O36" s="676"/>
      <c r="P36" s="630"/>
      <c r="Q36" s="676"/>
      <c r="R36" s="630"/>
      <c r="S36" s="676"/>
      <c r="T36" s="630"/>
      <c r="U36" s="565"/>
      <c r="V36" s="565"/>
    </row>
    <row r="37" spans="1:22" s="42" customFormat="1" ht="13.8" thickBot="1" x14ac:dyDescent="0.3">
      <c r="A37" s="558"/>
      <c r="B37" s="554"/>
      <c r="C37" s="554"/>
      <c r="D37" s="554"/>
      <c r="E37" s="554"/>
      <c r="F37" s="554"/>
      <c r="G37" s="554"/>
      <c r="H37" s="559" t="s">
        <v>0</v>
      </c>
      <c r="I37" s="560"/>
      <c r="J37" s="561"/>
      <c r="K37" s="561"/>
      <c r="L37" s="561"/>
      <c r="M37" s="561"/>
      <c r="N37" s="561"/>
      <c r="O37" s="677"/>
      <c r="P37" s="631"/>
      <c r="Q37" s="677"/>
      <c r="R37" s="631"/>
      <c r="S37" s="677"/>
      <c r="T37" s="631"/>
      <c r="U37" s="562"/>
      <c r="V37" s="561"/>
    </row>
    <row r="38" spans="1:22" s="59" customFormat="1" ht="13.8" thickBot="1" x14ac:dyDescent="0.3">
      <c r="A38" s="504"/>
      <c r="B38" s="367"/>
      <c r="C38" s="367"/>
      <c r="D38" s="367"/>
      <c r="E38" s="367"/>
      <c r="F38" s="367"/>
      <c r="G38" s="367"/>
      <c r="H38" s="56">
        <v>6</v>
      </c>
      <c r="I38" s="57" t="s">
        <v>1</v>
      </c>
      <c r="J38" s="58" t="e">
        <f>SUM(J39+J54+J64+J75+#REF!+J91)</f>
        <v>#REF!</v>
      </c>
      <c r="K38" s="58" t="e">
        <f>SUM(K39+K54+K64+K75+#REF!)</f>
        <v>#REF!</v>
      </c>
      <c r="L38" s="58" t="e">
        <f>SUM(L39+L54+L64+L75+#REF!)</f>
        <v>#REF!</v>
      </c>
      <c r="M38" s="58">
        <f t="shared" ref="M38:P38" si="50">SUM(M39+M54+M64+M75+M88+M91)</f>
        <v>9929500</v>
      </c>
      <c r="N38" s="58">
        <f t="shared" si="50"/>
        <v>1317871.1261530295</v>
      </c>
      <c r="O38" s="58">
        <f t="shared" si="50"/>
        <v>2698600</v>
      </c>
      <c r="P38" s="645">
        <f t="shared" si="50"/>
        <v>20332601.699999999</v>
      </c>
      <c r="Q38" s="58">
        <f t="shared" ref="Q38:T38" si="51">SUM(Q39+Q54+Q64+Q75+Q88+Q91)</f>
        <v>2916425</v>
      </c>
      <c r="R38" s="645">
        <f t="shared" ref="R38" si="52">SUM(R39+R54+R64+R75+R88+R91)</f>
        <v>21973804.162499998</v>
      </c>
      <c r="S38" s="58">
        <f t="shared" si="51"/>
        <v>3210700</v>
      </c>
      <c r="T38" s="645">
        <f t="shared" si="51"/>
        <v>24191019.149999999</v>
      </c>
      <c r="U38" s="710">
        <f>Q38/O38*100</f>
        <v>108.07177795894167</v>
      </c>
      <c r="V38" s="698">
        <f>S38/Q38*100</f>
        <v>110.09026462192581</v>
      </c>
    </row>
    <row r="39" spans="1:22" s="85" customFormat="1" x14ac:dyDescent="0.25">
      <c r="A39" s="505"/>
      <c r="B39" s="368"/>
      <c r="C39" s="368"/>
      <c r="D39" s="368"/>
      <c r="E39" s="368"/>
      <c r="F39" s="368"/>
      <c r="G39" s="368"/>
      <c r="H39" s="79">
        <v>61</v>
      </c>
      <c r="I39" s="80" t="s">
        <v>12</v>
      </c>
      <c r="J39" s="81" t="e">
        <f>SUM(J40+#REF!+J48+J51+#REF!)</f>
        <v>#REF!</v>
      </c>
      <c r="K39" s="81" t="e">
        <f>SUM(K40+#REF!+K48+K51+#REF!)</f>
        <v>#REF!</v>
      </c>
      <c r="L39" s="81" t="e">
        <f>SUM(L40+#REF!+L48+L51+#REF!)</f>
        <v>#REF!</v>
      </c>
      <c r="M39" s="81">
        <f t="shared" ref="M39" si="53">SUM(M40+M48+M51)</f>
        <v>3691000</v>
      </c>
      <c r="N39" s="81">
        <f t="shared" ref="N39:O39" si="54">SUM(N40+N48+N51)</f>
        <v>489879.88585838472</v>
      </c>
      <c r="O39" s="81">
        <f t="shared" si="54"/>
        <v>973900</v>
      </c>
      <c r="P39" s="646">
        <f t="shared" ref="P39:R39" si="55">SUM(P40+P48+P51)</f>
        <v>7337849.5499999998</v>
      </c>
      <c r="Q39" s="81">
        <f t="shared" si="55"/>
        <v>1026200</v>
      </c>
      <c r="R39" s="646">
        <f t="shared" si="55"/>
        <v>7731903.9000000004</v>
      </c>
      <c r="S39" s="81">
        <f t="shared" ref="S39:T39" si="56">SUM(S40+S48+S51)</f>
        <v>1076700</v>
      </c>
      <c r="T39" s="646">
        <f t="shared" si="56"/>
        <v>8112396.1500000004</v>
      </c>
      <c r="U39" s="82">
        <f>Q39/O39*100</f>
        <v>105.37016120751616</v>
      </c>
      <c r="V39" s="699">
        <f>S39/Q39*100</f>
        <v>104.92106801793022</v>
      </c>
    </row>
    <row r="40" spans="1:22" s="1" customFormat="1" hidden="1" x14ac:dyDescent="0.25">
      <c r="A40" s="506"/>
      <c r="B40" s="359"/>
      <c r="C40" s="359"/>
      <c r="D40" s="359"/>
      <c r="E40" s="359"/>
      <c r="F40" s="359"/>
      <c r="G40" s="359"/>
      <c r="H40" s="24">
        <v>611</v>
      </c>
      <c r="I40" s="8" t="s">
        <v>13</v>
      </c>
      <c r="J40" s="12">
        <f t="shared" ref="J40:L40" si="57">SUM(J41:J47)</f>
        <v>2154483</v>
      </c>
      <c r="K40" s="12">
        <f t="shared" si="57"/>
        <v>1910000</v>
      </c>
      <c r="L40" s="12">
        <f t="shared" si="57"/>
        <v>2210000</v>
      </c>
      <c r="M40" s="12">
        <f t="shared" ref="M40:T40" si="58">SUM(M41:M47)</f>
        <v>3445000</v>
      </c>
      <c r="N40" s="12">
        <f t="shared" si="58"/>
        <v>457230.07498838671</v>
      </c>
      <c r="O40" s="12">
        <f t="shared" si="58"/>
        <v>906000</v>
      </c>
      <c r="P40" s="626">
        <f t="shared" si="58"/>
        <v>6826257</v>
      </c>
      <c r="Q40" s="12">
        <f t="shared" si="58"/>
        <v>956000</v>
      </c>
      <c r="R40" s="626">
        <f t="shared" si="58"/>
        <v>7202982</v>
      </c>
      <c r="S40" s="12">
        <f t="shared" si="58"/>
        <v>1006000</v>
      </c>
      <c r="T40" s="626">
        <f t="shared" si="58"/>
        <v>7579707</v>
      </c>
      <c r="U40" s="48">
        <f>Q40/O40*100</f>
        <v>105.5187637969095</v>
      </c>
      <c r="V40" s="700">
        <f>S40/Q40*100</f>
        <v>105.23012552301256</v>
      </c>
    </row>
    <row r="41" spans="1:22" hidden="1" x14ac:dyDescent="0.25">
      <c r="A41" s="506" t="s">
        <v>551</v>
      </c>
      <c r="B41" s="359"/>
      <c r="C41" s="359"/>
      <c r="D41" s="359"/>
      <c r="E41" s="359"/>
      <c r="F41" s="359"/>
      <c r="G41" s="359"/>
      <c r="H41" s="25">
        <v>6111</v>
      </c>
      <c r="I41" s="47" t="s">
        <v>14</v>
      </c>
      <c r="J41" s="16">
        <v>1821860</v>
      </c>
      <c r="K41" s="16">
        <v>1700000</v>
      </c>
      <c r="L41" s="16">
        <v>2000000</v>
      </c>
      <c r="M41" s="16">
        <v>2800000</v>
      </c>
      <c r="N41" s="16">
        <f t="shared" ref="N41:N47" si="59">M41/7.5345</f>
        <v>371623.86356095294</v>
      </c>
      <c r="O41" s="16">
        <v>770000</v>
      </c>
      <c r="P41" s="647">
        <f t="shared" ref="P41:P47" si="60">O41*7.5345</f>
        <v>5801565</v>
      </c>
      <c r="Q41" s="16">
        <v>800000</v>
      </c>
      <c r="R41" s="647">
        <f t="shared" ref="R41:R47" si="61">Q41*7.5345</f>
        <v>6027600</v>
      </c>
      <c r="S41" s="16">
        <v>850000</v>
      </c>
      <c r="T41" s="647">
        <f t="shared" ref="T41" si="62">S41*7.5345</f>
        <v>6404325</v>
      </c>
      <c r="U41" s="48">
        <f t="shared" ref="U41:U93" si="63">Q41/O41*100</f>
        <v>103.89610389610388</v>
      </c>
      <c r="V41" s="700">
        <f t="shared" ref="V41:V90" si="64">S41/Q41*100</f>
        <v>106.25</v>
      </c>
    </row>
    <row r="42" spans="1:22" hidden="1" x14ac:dyDescent="0.25">
      <c r="A42" s="506" t="s">
        <v>551</v>
      </c>
      <c r="B42" s="359"/>
      <c r="C42" s="359"/>
      <c r="D42" s="359"/>
      <c r="E42" s="359"/>
      <c r="F42" s="359"/>
      <c r="G42" s="359"/>
      <c r="H42" s="25">
        <v>6112</v>
      </c>
      <c r="I42" s="47" t="s">
        <v>15</v>
      </c>
      <c r="J42" s="16">
        <v>175805</v>
      </c>
      <c r="K42" s="16">
        <v>100000</v>
      </c>
      <c r="L42" s="16">
        <v>100000</v>
      </c>
      <c r="M42" s="16">
        <v>450000</v>
      </c>
      <c r="N42" s="16">
        <f t="shared" si="59"/>
        <v>59725.263786581723</v>
      </c>
      <c r="O42" s="16">
        <v>70000</v>
      </c>
      <c r="P42" s="647">
        <f t="shared" si="60"/>
        <v>527415</v>
      </c>
      <c r="Q42" s="16">
        <v>75000</v>
      </c>
      <c r="R42" s="647">
        <f t="shared" si="61"/>
        <v>565087.5</v>
      </c>
      <c r="S42" s="16">
        <v>75000</v>
      </c>
      <c r="T42" s="647">
        <f t="shared" ref="T42" si="65">S42*7.5345</f>
        <v>565087.5</v>
      </c>
      <c r="U42" s="48">
        <f t="shared" si="63"/>
        <v>107.14285714285714</v>
      </c>
      <c r="V42" s="700">
        <f t="shared" si="64"/>
        <v>100</v>
      </c>
    </row>
    <row r="43" spans="1:22" hidden="1" x14ac:dyDescent="0.25">
      <c r="A43" s="506" t="s">
        <v>551</v>
      </c>
      <c r="B43" s="359"/>
      <c r="C43" s="359"/>
      <c r="D43" s="359"/>
      <c r="E43" s="359"/>
      <c r="F43" s="359"/>
      <c r="G43" s="359"/>
      <c r="H43" s="25">
        <v>6113</v>
      </c>
      <c r="I43" s="47" t="s">
        <v>346</v>
      </c>
      <c r="J43" s="16">
        <v>30942</v>
      </c>
      <c r="K43" s="16">
        <v>20000</v>
      </c>
      <c r="L43" s="16">
        <v>20000</v>
      </c>
      <c r="M43" s="16">
        <v>90000</v>
      </c>
      <c r="N43" s="16">
        <f t="shared" si="59"/>
        <v>11945.052757316344</v>
      </c>
      <c r="O43" s="16">
        <v>25000</v>
      </c>
      <c r="P43" s="647">
        <f t="shared" si="60"/>
        <v>188362.5</v>
      </c>
      <c r="Q43" s="16">
        <v>30000</v>
      </c>
      <c r="R43" s="647">
        <f>Q43*7.5345</f>
        <v>226035</v>
      </c>
      <c r="S43" s="16">
        <v>30000</v>
      </c>
      <c r="T43" s="647">
        <f t="shared" ref="T43" si="66">S43*7.5345</f>
        <v>226035</v>
      </c>
      <c r="U43" s="48">
        <f t="shared" si="63"/>
        <v>120</v>
      </c>
      <c r="V43" s="700">
        <f t="shared" si="64"/>
        <v>100</v>
      </c>
    </row>
    <row r="44" spans="1:22" hidden="1" x14ac:dyDescent="0.25">
      <c r="A44" s="506" t="s">
        <v>551</v>
      </c>
      <c r="B44" s="359"/>
      <c r="C44" s="359"/>
      <c r="D44" s="359"/>
      <c r="E44" s="359"/>
      <c r="F44" s="359"/>
      <c r="G44" s="359"/>
      <c r="H44" s="25">
        <v>6114</v>
      </c>
      <c r="I44" s="15" t="s">
        <v>111</v>
      </c>
      <c r="J44" s="16">
        <v>64474</v>
      </c>
      <c r="K44" s="16">
        <v>30000</v>
      </c>
      <c r="L44" s="16">
        <v>30000</v>
      </c>
      <c r="M44" s="16">
        <v>400000</v>
      </c>
      <c r="N44" s="16">
        <f t="shared" si="59"/>
        <v>53089.123365850421</v>
      </c>
      <c r="O44" s="16">
        <v>70000</v>
      </c>
      <c r="P44" s="647">
        <f t="shared" si="60"/>
        <v>527415</v>
      </c>
      <c r="Q44" s="16">
        <v>75000</v>
      </c>
      <c r="R44" s="647">
        <f t="shared" si="61"/>
        <v>565087.5</v>
      </c>
      <c r="S44" s="16">
        <v>75000</v>
      </c>
      <c r="T44" s="647">
        <f t="shared" ref="T44" si="67">S44*7.5345</f>
        <v>565087.5</v>
      </c>
      <c r="U44" s="48">
        <f t="shared" si="63"/>
        <v>107.14285714285714</v>
      </c>
      <c r="V44" s="700">
        <f t="shared" si="64"/>
        <v>100</v>
      </c>
    </row>
    <row r="45" spans="1:22" hidden="1" x14ac:dyDescent="0.25">
      <c r="A45" s="506" t="s">
        <v>551</v>
      </c>
      <c r="B45" s="359"/>
      <c r="C45" s="359"/>
      <c r="D45" s="359"/>
      <c r="E45" s="359"/>
      <c r="F45" s="359"/>
      <c r="G45" s="359"/>
      <c r="H45" s="25">
        <v>6115</v>
      </c>
      <c r="I45" s="15" t="s">
        <v>16</v>
      </c>
      <c r="J45" s="16">
        <v>61402</v>
      </c>
      <c r="K45" s="16">
        <v>50000</v>
      </c>
      <c r="L45" s="16">
        <v>50000</v>
      </c>
      <c r="M45" s="16">
        <v>250000</v>
      </c>
      <c r="N45" s="16">
        <f t="shared" si="59"/>
        <v>33180.702103656513</v>
      </c>
      <c r="O45" s="16">
        <v>50000</v>
      </c>
      <c r="P45" s="647">
        <f t="shared" si="60"/>
        <v>376725</v>
      </c>
      <c r="Q45" s="16">
        <v>55000</v>
      </c>
      <c r="R45" s="647">
        <f t="shared" si="61"/>
        <v>414397.5</v>
      </c>
      <c r="S45" s="16">
        <v>55000</v>
      </c>
      <c r="T45" s="647">
        <f t="shared" ref="T45" si="68">S45*7.5345</f>
        <v>414397.5</v>
      </c>
      <c r="U45" s="48">
        <f t="shared" si="63"/>
        <v>110.00000000000001</v>
      </c>
      <c r="V45" s="700">
        <f t="shared" si="64"/>
        <v>100</v>
      </c>
    </row>
    <row r="46" spans="1:22" hidden="1" x14ac:dyDescent="0.25">
      <c r="A46" s="506" t="s">
        <v>551</v>
      </c>
      <c r="B46" s="359"/>
      <c r="C46" s="359"/>
      <c r="D46" s="359"/>
      <c r="E46" s="359"/>
      <c r="F46" s="359"/>
      <c r="G46" s="359"/>
      <c r="H46" s="25">
        <v>6116</v>
      </c>
      <c r="I46" s="15" t="s">
        <v>120</v>
      </c>
      <c r="J46" s="16">
        <v>0</v>
      </c>
      <c r="K46" s="16">
        <v>10000</v>
      </c>
      <c r="L46" s="16">
        <v>10000</v>
      </c>
      <c r="M46" s="16">
        <v>5000</v>
      </c>
      <c r="N46" s="16">
        <f t="shared" si="59"/>
        <v>663.61404207313024</v>
      </c>
      <c r="O46" s="16">
        <v>1000</v>
      </c>
      <c r="P46" s="647">
        <f t="shared" si="60"/>
        <v>7534.5</v>
      </c>
      <c r="Q46" s="16">
        <v>1000</v>
      </c>
      <c r="R46" s="647">
        <f t="shared" si="61"/>
        <v>7534.5</v>
      </c>
      <c r="S46" s="16">
        <v>1000</v>
      </c>
      <c r="T46" s="647">
        <f t="shared" ref="T46" si="69">S46*7.5345</f>
        <v>7534.5</v>
      </c>
      <c r="U46" s="48">
        <f t="shared" si="63"/>
        <v>100</v>
      </c>
      <c r="V46" s="700">
        <f t="shared" si="64"/>
        <v>100</v>
      </c>
    </row>
    <row r="47" spans="1:22" hidden="1" x14ac:dyDescent="0.25">
      <c r="A47" s="506" t="s">
        <v>551</v>
      </c>
      <c r="B47" s="359"/>
      <c r="C47" s="359"/>
      <c r="D47" s="359"/>
      <c r="E47" s="359"/>
      <c r="F47" s="359"/>
      <c r="G47" s="359"/>
      <c r="H47" s="25">
        <v>6117</v>
      </c>
      <c r="I47" s="47" t="s">
        <v>345</v>
      </c>
      <c r="J47" s="16">
        <v>0</v>
      </c>
      <c r="K47" s="16">
        <v>0</v>
      </c>
      <c r="L47" s="16">
        <v>0</v>
      </c>
      <c r="M47" s="16">
        <v>-550000</v>
      </c>
      <c r="N47" s="16">
        <f t="shared" si="59"/>
        <v>-72997.544628044328</v>
      </c>
      <c r="O47" s="16">
        <v>-80000</v>
      </c>
      <c r="P47" s="647">
        <f t="shared" si="60"/>
        <v>-602760</v>
      </c>
      <c r="Q47" s="16">
        <v>-80000</v>
      </c>
      <c r="R47" s="647">
        <f t="shared" si="61"/>
        <v>-602760</v>
      </c>
      <c r="S47" s="16">
        <v>-80000</v>
      </c>
      <c r="T47" s="647">
        <f t="shared" ref="T47" si="70">S47*7.5345</f>
        <v>-602760</v>
      </c>
      <c r="U47" s="48">
        <f t="shared" si="63"/>
        <v>100</v>
      </c>
      <c r="V47" s="700">
        <f t="shared" si="64"/>
        <v>100</v>
      </c>
    </row>
    <row r="48" spans="1:22" s="1" customFormat="1" hidden="1" x14ac:dyDescent="0.25">
      <c r="A48" s="506"/>
      <c r="B48" s="359"/>
      <c r="C48" s="359"/>
      <c r="D48" s="359"/>
      <c r="E48" s="359"/>
      <c r="F48" s="359"/>
      <c r="G48" s="359"/>
      <c r="H48" s="24">
        <v>613</v>
      </c>
      <c r="I48" s="8" t="s">
        <v>17</v>
      </c>
      <c r="J48" s="12" t="e">
        <f>SUM(J49+J50)</f>
        <v>#REF!</v>
      </c>
      <c r="K48" s="12" t="e">
        <f>SUM(K49+K50)</f>
        <v>#REF!</v>
      </c>
      <c r="L48" s="12" t="e">
        <f>SUM(L49+L50)</f>
        <v>#REF!</v>
      </c>
      <c r="M48" s="12">
        <f t="shared" ref="M48:P48" si="71">M49+M50</f>
        <v>200000</v>
      </c>
      <c r="N48" s="12">
        <f t="shared" si="71"/>
        <v>26544.56168292521</v>
      </c>
      <c r="O48" s="12">
        <f t="shared" si="71"/>
        <v>60000</v>
      </c>
      <c r="P48" s="626">
        <f t="shared" si="71"/>
        <v>452070</v>
      </c>
      <c r="Q48" s="12">
        <f t="shared" ref="Q48:T48" si="72">Q49+Q50</f>
        <v>60000</v>
      </c>
      <c r="R48" s="626">
        <f t="shared" ref="R48" si="73">R49+R50</f>
        <v>452070</v>
      </c>
      <c r="S48" s="12">
        <f t="shared" si="72"/>
        <v>60000</v>
      </c>
      <c r="T48" s="626">
        <f t="shared" si="72"/>
        <v>452070</v>
      </c>
      <c r="U48" s="48">
        <f t="shared" si="63"/>
        <v>100</v>
      </c>
      <c r="V48" s="700">
        <f t="shared" si="64"/>
        <v>100</v>
      </c>
    </row>
    <row r="49" spans="1:22" hidden="1" x14ac:dyDescent="0.25">
      <c r="A49" s="506" t="s">
        <v>551</v>
      </c>
      <c r="B49" s="359"/>
      <c r="C49" s="359"/>
      <c r="D49" s="359"/>
      <c r="E49" s="359"/>
      <c r="F49" s="359"/>
      <c r="G49" s="359"/>
      <c r="H49" s="27">
        <v>6131</v>
      </c>
      <c r="I49" s="10" t="s">
        <v>18</v>
      </c>
      <c r="J49" s="12" t="e">
        <f>SUM(#REF!)</f>
        <v>#REF!</v>
      </c>
      <c r="K49" s="12" t="e">
        <f>SUM(#REF!)</f>
        <v>#REF!</v>
      </c>
      <c r="L49" s="12" t="e">
        <f>SUM(#REF!)</f>
        <v>#REF!</v>
      </c>
      <c r="M49" s="11">
        <v>0</v>
      </c>
      <c r="N49" s="16">
        <f>M49/7.5345</f>
        <v>0</v>
      </c>
      <c r="O49" s="16">
        <v>0</v>
      </c>
      <c r="P49" s="647">
        <f>O49*7.5345</f>
        <v>0</v>
      </c>
      <c r="Q49" s="16">
        <v>0</v>
      </c>
      <c r="R49" s="647">
        <f>Q49*7.5345</f>
        <v>0</v>
      </c>
      <c r="S49" s="16">
        <v>0</v>
      </c>
      <c r="T49" s="647">
        <f>S49*7.5345</f>
        <v>0</v>
      </c>
      <c r="U49" s="48">
        <v>0</v>
      </c>
      <c r="V49" s="700">
        <v>0</v>
      </c>
    </row>
    <row r="50" spans="1:22" s="29" customFormat="1" hidden="1" x14ac:dyDescent="0.25">
      <c r="A50" s="506" t="s">
        <v>551</v>
      </c>
      <c r="B50" s="359"/>
      <c r="C50" s="359"/>
      <c r="D50" s="359"/>
      <c r="E50" s="359"/>
      <c r="F50" s="359"/>
      <c r="G50" s="359"/>
      <c r="H50" s="27">
        <v>6134</v>
      </c>
      <c r="I50" s="10" t="s">
        <v>19</v>
      </c>
      <c r="J50" s="11" t="e">
        <f>SUM(#REF!)</f>
        <v>#REF!</v>
      </c>
      <c r="K50" s="11" t="e">
        <f>SUM(#REF!)</f>
        <v>#REF!</v>
      </c>
      <c r="L50" s="11" t="e">
        <f>SUM(#REF!)</f>
        <v>#REF!</v>
      </c>
      <c r="M50" s="11">
        <v>200000</v>
      </c>
      <c r="N50" s="16">
        <f>M50/7.5345</f>
        <v>26544.56168292521</v>
      </c>
      <c r="O50" s="16">
        <v>60000</v>
      </c>
      <c r="P50" s="647">
        <f>O50*7.5345</f>
        <v>452070</v>
      </c>
      <c r="Q50" s="16">
        <v>60000</v>
      </c>
      <c r="R50" s="647">
        <f>Q50*7.5345</f>
        <v>452070</v>
      </c>
      <c r="S50" s="16">
        <v>60000</v>
      </c>
      <c r="T50" s="647">
        <f>S50*7.5345</f>
        <v>452070</v>
      </c>
      <c r="U50" s="48">
        <f t="shared" si="63"/>
        <v>100</v>
      </c>
      <c r="V50" s="700">
        <f t="shared" si="64"/>
        <v>100</v>
      </c>
    </row>
    <row r="51" spans="1:22" s="1" customFormat="1" hidden="1" x14ac:dyDescent="0.25">
      <c r="A51" s="506"/>
      <c r="B51" s="359"/>
      <c r="C51" s="359"/>
      <c r="D51" s="359"/>
      <c r="E51" s="359"/>
      <c r="F51" s="359"/>
      <c r="G51" s="359"/>
      <c r="H51" s="24">
        <v>614</v>
      </c>
      <c r="I51" s="8" t="s">
        <v>20</v>
      </c>
      <c r="J51" s="12" t="e">
        <f t="shared" ref="J51:M51" si="74">SUM(J52+J53)</f>
        <v>#REF!</v>
      </c>
      <c r="K51" s="12" t="e">
        <f t="shared" si="74"/>
        <v>#REF!</v>
      </c>
      <c r="L51" s="12" t="e">
        <f t="shared" si="74"/>
        <v>#REF!</v>
      </c>
      <c r="M51" s="12">
        <f t="shared" si="74"/>
        <v>46000</v>
      </c>
      <c r="N51" s="12">
        <f t="shared" ref="N51:O51" si="75">SUM(N52+N53)</f>
        <v>6105.2491870727981</v>
      </c>
      <c r="O51" s="12">
        <f t="shared" si="75"/>
        <v>7900</v>
      </c>
      <c r="P51" s="626">
        <f t="shared" ref="P51:R51" si="76">SUM(P52+P53)</f>
        <v>59522.55</v>
      </c>
      <c r="Q51" s="12">
        <f t="shared" si="76"/>
        <v>10200</v>
      </c>
      <c r="R51" s="626">
        <f t="shared" si="76"/>
        <v>76851.900000000009</v>
      </c>
      <c r="S51" s="12">
        <f t="shared" ref="S51:T51" si="77">SUM(S52+S53)</f>
        <v>10700</v>
      </c>
      <c r="T51" s="626">
        <f t="shared" si="77"/>
        <v>80619.150000000009</v>
      </c>
      <c r="U51" s="48">
        <f t="shared" si="63"/>
        <v>129.1139240506329</v>
      </c>
      <c r="V51" s="700">
        <f t="shared" si="64"/>
        <v>104.90196078431373</v>
      </c>
    </row>
    <row r="52" spans="1:22" hidden="1" x14ac:dyDescent="0.25">
      <c r="A52" s="506" t="s">
        <v>551</v>
      </c>
      <c r="B52" s="359"/>
      <c r="C52" s="359"/>
      <c r="D52" s="359"/>
      <c r="E52" s="359"/>
      <c r="F52" s="359"/>
      <c r="G52" s="359"/>
      <c r="H52" s="27">
        <v>6142</v>
      </c>
      <c r="I52" s="10" t="s">
        <v>21</v>
      </c>
      <c r="J52" s="11" t="e">
        <f>SUM(#REF!)</f>
        <v>#REF!</v>
      </c>
      <c r="K52" s="11" t="e">
        <f>SUM(#REF!)</f>
        <v>#REF!</v>
      </c>
      <c r="L52" s="11" t="e">
        <f>SUM(#REF!)</f>
        <v>#REF!</v>
      </c>
      <c r="M52" s="11">
        <v>45000</v>
      </c>
      <c r="N52" s="16">
        <f>M52/7.5345</f>
        <v>5972.5263786581718</v>
      </c>
      <c r="O52" s="16">
        <v>7400</v>
      </c>
      <c r="P52" s="647">
        <f>O52*7.5345</f>
        <v>55755.3</v>
      </c>
      <c r="Q52" s="16">
        <v>9700</v>
      </c>
      <c r="R52" s="647">
        <f>Q52*7.5345</f>
        <v>73084.650000000009</v>
      </c>
      <c r="S52" s="16">
        <v>10200</v>
      </c>
      <c r="T52" s="647">
        <f>S52*7.5345</f>
        <v>76851.900000000009</v>
      </c>
      <c r="U52" s="48">
        <f t="shared" si="63"/>
        <v>131.08108108108107</v>
      </c>
      <c r="V52" s="700">
        <f t="shared" si="64"/>
        <v>105.15463917525774</v>
      </c>
    </row>
    <row r="53" spans="1:22" s="29" customFormat="1" hidden="1" x14ac:dyDescent="0.25">
      <c r="A53" s="506" t="s">
        <v>551</v>
      </c>
      <c r="B53" s="359"/>
      <c r="C53" s="359"/>
      <c r="D53" s="359"/>
      <c r="E53" s="359"/>
      <c r="F53" s="359"/>
      <c r="G53" s="359"/>
      <c r="H53" s="27">
        <v>6145</v>
      </c>
      <c r="I53" s="10" t="s">
        <v>22</v>
      </c>
      <c r="J53" s="11" t="e">
        <f>SUM(#REF!)</f>
        <v>#REF!</v>
      </c>
      <c r="K53" s="11" t="e">
        <f>SUM(#REF!)</f>
        <v>#REF!</v>
      </c>
      <c r="L53" s="11" t="e">
        <f>SUM(#REF!)</f>
        <v>#REF!</v>
      </c>
      <c r="M53" s="11">
        <v>1000</v>
      </c>
      <c r="N53" s="16">
        <f>M53/7.5345</f>
        <v>132.72280841462606</v>
      </c>
      <c r="O53" s="16">
        <v>500</v>
      </c>
      <c r="P53" s="647">
        <f>O53*7.5345</f>
        <v>3767.25</v>
      </c>
      <c r="Q53" s="16">
        <v>500</v>
      </c>
      <c r="R53" s="647">
        <f>Q53*7.5345</f>
        <v>3767.25</v>
      </c>
      <c r="S53" s="16">
        <v>500</v>
      </c>
      <c r="T53" s="647">
        <f>S53*7.5345</f>
        <v>3767.25</v>
      </c>
      <c r="U53" s="48">
        <f t="shared" si="63"/>
        <v>100</v>
      </c>
      <c r="V53" s="700">
        <f t="shared" si="64"/>
        <v>100</v>
      </c>
    </row>
    <row r="54" spans="1:22" s="85" customFormat="1" x14ac:dyDescent="0.25">
      <c r="A54" s="507"/>
      <c r="B54" s="369"/>
      <c r="C54" s="369"/>
      <c r="D54" s="369"/>
      <c r="E54" s="369"/>
      <c r="F54" s="369"/>
      <c r="G54" s="369"/>
      <c r="H54" s="86">
        <v>63</v>
      </c>
      <c r="I54" s="87" t="s">
        <v>23</v>
      </c>
      <c r="J54" s="88" t="e">
        <f>SUM(J55+J58)</f>
        <v>#REF!</v>
      </c>
      <c r="K54" s="88" t="e">
        <f>SUM(K55+K58)</f>
        <v>#REF!</v>
      </c>
      <c r="L54" s="88" t="e">
        <f>SUM(L55+L58)</f>
        <v>#REF!</v>
      </c>
      <c r="M54" s="88">
        <f t="shared" ref="M54:P54" si="78">SUM(M55+M58+M61)</f>
        <v>4145000</v>
      </c>
      <c r="N54" s="88">
        <f t="shared" si="78"/>
        <v>550136.040878625</v>
      </c>
      <c r="O54" s="88">
        <f t="shared" si="78"/>
        <v>1448000</v>
      </c>
      <c r="P54" s="648">
        <f t="shared" si="78"/>
        <v>10909956</v>
      </c>
      <c r="Q54" s="88">
        <f t="shared" ref="Q54:T54" si="79">SUM(Q55+Q58+Q61)</f>
        <v>1562425</v>
      </c>
      <c r="R54" s="648">
        <f t="shared" ref="R54" si="80">SUM(R55+R58+R61)</f>
        <v>11772091.1625</v>
      </c>
      <c r="S54" s="88">
        <f t="shared" si="79"/>
        <v>1816200</v>
      </c>
      <c r="T54" s="648">
        <f t="shared" si="79"/>
        <v>13684158.9</v>
      </c>
      <c r="U54" s="82">
        <f>Q54/O54*100</f>
        <v>107.90227900552487</v>
      </c>
      <c r="V54" s="699">
        <f>S54/Q54*100</f>
        <v>116.24237963422243</v>
      </c>
    </row>
    <row r="55" spans="1:22" s="1" customFormat="1" hidden="1" x14ac:dyDescent="0.25">
      <c r="A55" s="506"/>
      <c r="B55" s="359"/>
      <c r="C55" s="359"/>
      <c r="D55" s="359" t="s">
        <v>366</v>
      </c>
      <c r="E55" s="359"/>
      <c r="F55" s="359"/>
      <c r="G55" s="359"/>
      <c r="H55" s="24">
        <v>633</v>
      </c>
      <c r="I55" s="8" t="s">
        <v>24</v>
      </c>
      <c r="J55" s="12">
        <f t="shared" ref="J55:M55" si="81">SUM(J56:J57)</f>
        <v>949030</v>
      </c>
      <c r="K55" s="12">
        <f t="shared" si="81"/>
        <v>800000</v>
      </c>
      <c r="L55" s="12">
        <f t="shared" si="81"/>
        <v>1280000</v>
      </c>
      <c r="M55" s="12">
        <f t="shared" si="81"/>
        <v>3700000</v>
      </c>
      <c r="N55" s="12">
        <f t="shared" ref="N55:O55" si="82">SUM(N56:N57)</f>
        <v>491074.39113411639</v>
      </c>
      <c r="O55" s="12">
        <f t="shared" si="82"/>
        <v>553000</v>
      </c>
      <c r="P55" s="626">
        <f t="shared" ref="P55:R55" si="83">SUM(P56:P57)</f>
        <v>4166578.5</v>
      </c>
      <c r="Q55" s="12">
        <f t="shared" si="83"/>
        <v>480000</v>
      </c>
      <c r="R55" s="626">
        <f t="shared" si="83"/>
        <v>3616560</v>
      </c>
      <c r="S55" s="12">
        <f t="shared" ref="S55:T55" si="84">SUM(S56:S57)</f>
        <v>450000</v>
      </c>
      <c r="T55" s="626">
        <f t="shared" si="84"/>
        <v>3390525</v>
      </c>
      <c r="U55" s="48">
        <f t="shared" si="63"/>
        <v>86.79927667269439</v>
      </c>
      <c r="V55" s="700">
        <f t="shared" si="64"/>
        <v>93.75</v>
      </c>
    </row>
    <row r="56" spans="1:22" hidden="1" x14ac:dyDescent="0.25">
      <c r="A56" s="506" t="s">
        <v>539</v>
      </c>
      <c r="B56" s="359"/>
      <c r="C56" s="359"/>
      <c r="D56" s="359"/>
      <c r="E56" s="359"/>
      <c r="F56" s="359"/>
      <c r="G56" s="359"/>
      <c r="H56" s="25">
        <v>6331</v>
      </c>
      <c r="I56" s="15" t="s">
        <v>378</v>
      </c>
      <c r="J56" s="16">
        <v>949030</v>
      </c>
      <c r="K56" s="16">
        <v>600000</v>
      </c>
      <c r="L56" s="16">
        <v>1180000</v>
      </c>
      <c r="M56" s="16">
        <v>2700000</v>
      </c>
      <c r="N56" s="16">
        <f>M56/7.5345</f>
        <v>358351.58271949034</v>
      </c>
      <c r="O56" s="722">
        <v>426000</v>
      </c>
      <c r="P56" s="647">
        <f>O56*7.5345</f>
        <v>3209697</v>
      </c>
      <c r="Q56" s="16">
        <v>410000</v>
      </c>
      <c r="R56" s="647">
        <f>Q56*7.5345</f>
        <v>3089145</v>
      </c>
      <c r="S56" s="16">
        <v>400000</v>
      </c>
      <c r="T56" s="647">
        <f>S56*7.5345</f>
        <v>3013800</v>
      </c>
      <c r="U56" s="48">
        <f t="shared" si="63"/>
        <v>96.244131455399057</v>
      </c>
      <c r="V56" s="700">
        <f t="shared" si="64"/>
        <v>97.560975609756099</v>
      </c>
    </row>
    <row r="57" spans="1:22" hidden="1" x14ac:dyDescent="0.25">
      <c r="A57" s="506" t="s">
        <v>540</v>
      </c>
      <c r="B57" s="359"/>
      <c r="C57" s="359"/>
      <c r="D57" s="359"/>
      <c r="E57" s="359"/>
      <c r="F57" s="359"/>
      <c r="G57" s="359"/>
      <c r="H57" s="25">
        <v>6332</v>
      </c>
      <c r="I57" s="15" t="s">
        <v>603</v>
      </c>
      <c r="J57" s="16">
        <v>0</v>
      </c>
      <c r="K57" s="16">
        <v>200000</v>
      </c>
      <c r="L57" s="16">
        <v>100000</v>
      </c>
      <c r="M57" s="16">
        <v>1000000</v>
      </c>
      <c r="N57" s="16">
        <f>M57/7.5345</f>
        <v>132722.80841462605</v>
      </c>
      <c r="O57" s="16">
        <v>127000</v>
      </c>
      <c r="P57" s="647">
        <f>O57*7.5345</f>
        <v>956881.5</v>
      </c>
      <c r="Q57" s="16">
        <v>70000</v>
      </c>
      <c r="R57" s="647">
        <f>Q57*7.5345</f>
        <v>527415</v>
      </c>
      <c r="S57" s="16">
        <v>50000</v>
      </c>
      <c r="T57" s="647">
        <f>S57*7.5345</f>
        <v>376725</v>
      </c>
      <c r="U57" s="48">
        <f t="shared" si="63"/>
        <v>55.118110236220474</v>
      </c>
      <c r="V57" s="700">
        <f t="shared" si="64"/>
        <v>71.428571428571431</v>
      </c>
    </row>
    <row r="58" spans="1:22" s="1" customFormat="1" hidden="1" x14ac:dyDescent="0.25">
      <c r="A58" s="506"/>
      <c r="B58" s="359"/>
      <c r="C58" s="359"/>
      <c r="D58" s="359" t="s">
        <v>366</v>
      </c>
      <c r="E58" s="359"/>
      <c r="F58" s="359"/>
      <c r="G58" s="359"/>
      <c r="H58" s="24">
        <v>634</v>
      </c>
      <c r="I58" s="8" t="s">
        <v>370</v>
      </c>
      <c r="J58" s="12" t="e">
        <f>SUM(J59:J62)</f>
        <v>#REF!</v>
      </c>
      <c r="K58" s="12" t="e">
        <f>SUM(K59:K62)</f>
        <v>#REF!</v>
      </c>
      <c r="L58" s="12" t="e">
        <f>SUM(L59:L62)</f>
        <v>#REF!</v>
      </c>
      <c r="M58" s="12">
        <f t="shared" ref="M58:P58" si="85">M59+M60</f>
        <v>80000</v>
      </c>
      <c r="N58" s="12">
        <f t="shared" si="85"/>
        <v>10617.824673170084</v>
      </c>
      <c r="O58" s="12">
        <f t="shared" si="85"/>
        <v>13000</v>
      </c>
      <c r="P58" s="626">
        <f t="shared" si="85"/>
        <v>97948.5</v>
      </c>
      <c r="Q58" s="12">
        <v>0</v>
      </c>
      <c r="R58" s="626">
        <f t="shared" ref="R58" si="86">R59+R60</f>
        <v>0</v>
      </c>
      <c r="S58" s="12">
        <v>0</v>
      </c>
      <c r="T58" s="626">
        <f t="shared" ref="T58" si="87">T59+T60</f>
        <v>0</v>
      </c>
      <c r="U58" s="48">
        <f t="shared" si="63"/>
        <v>0</v>
      </c>
      <c r="V58" s="700" t="e">
        <f t="shared" si="64"/>
        <v>#DIV/0!</v>
      </c>
    </row>
    <row r="59" spans="1:22" hidden="1" x14ac:dyDescent="0.25">
      <c r="A59" s="506" t="s">
        <v>541</v>
      </c>
      <c r="B59" s="359"/>
      <c r="C59" s="359"/>
      <c r="D59" s="359"/>
      <c r="E59" s="359"/>
      <c r="F59" s="359"/>
      <c r="G59" s="359"/>
      <c r="H59" s="25">
        <v>6341</v>
      </c>
      <c r="I59" s="15" t="s">
        <v>373</v>
      </c>
      <c r="J59" s="16">
        <v>0</v>
      </c>
      <c r="K59" s="16">
        <v>0</v>
      </c>
      <c r="L59" s="16">
        <v>0</v>
      </c>
      <c r="M59" s="16">
        <v>80000</v>
      </c>
      <c r="N59" s="16">
        <f>M59/7.5345</f>
        <v>10617.824673170084</v>
      </c>
      <c r="O59" s="16">
        <v>13000</v>
      </c>
      <c r="P59" s="647">
        <f>O59*7.5345</f>
        <v>97948.5</v>
      </c>
      <c r="Q59" s="16">
        <v>0</v>
      </c>
      <c r="R59" s="647">
        <f>Q59*7.5345</f>
        <v>0</v>
      </c>
      <c r="S59" s="16">
        <v>0</v>
      </c>
      <c r="T59" s="647">
        <f>S59*7.5345</f>
        <v>0</v>
      </c>
      <c r="U59" s="48">
        <f t="shared" si="63"/>
        <v>0</v>
      </c>
      <c r="V59" s="700" t="e">
        <f t="shared" si="64"/>
        <v>#DIV/0!</v>
      </c>
    </row>
    <row r="60" spans="1:22" hidden="1" x14ac:dyDescent="0.25">
      <c r="A60" s="506" t="s">
        <v>542</v>
      </c>
      <c r="B60" s="359"/>
      <c r="C60" s="359"/>
      <c r="D60" s="359"/>
      <c r="E60" s="359"/>
      <c r="F60" s="359"/>
      <c r="G60" s="359"/>
      <c r="H60" s="25">
        <v>6342</v>
      </c>
      <c r="I60" s="47" t="s">
        <v>372</v>
      </c>
      <c r="J60" s="16">
        <v>0</v>
      </c>
      <c r="K60" s="16">
        <v>0</v>
      </c>
      <c r="L60" s="16">
        <v>0</v>
      </c>
      <c r="M60" s="16"/>
      <c r="N60" s="16">
        <f>M60/7.5345</f>
        <v>0</v>
      </c>
      <c r="O60" s="16">
        <v>0</v>
      </c>
      <c r="P60" s="647"/>
      <c r="Q60" s="16">
        <v>0</v>
      </c>
      <c r="R60" s="647"/>
      <c r="S60" s="16">
        <v>0</v>
      </c>
      <c r="T60" s="647"/>
      <c r="U60" s="48">
        <v>0</v>
      </c>
      <c r="V60" s="700" t="e">
        <f t="shared" si="64"/>
        <v>#DIV/0!</v>
      </c>
    </row>
    <row r="61" spans="1:22" s="1" customFormat="1" ht="21" hidden="1" x14ac:dyDescent="0.25">
      <c r="A61" s="506"/>
      <c r="B61" s="359"/>
      <c r="C61" s="359"/>
      <c r="D61" s="359" t="s">
        <v>366</v>
      </c>
      <c r="E61" s="359"/>
      <c r="F61" s="359"/>
      <c r="G61" s="359"/>
      <c r="H61" s="24">
        <v>638</v>
      </c>
      <c r="I61" s="8" t="s">
        <v>371</v>
      </c>
      <c r="J61" s="12" t="e">
        <f>SUM(J62:J65)</f>
        <v>#REF!</v>
      </c>
      <c r="K61" s="12" t="e">
        <f>SUM(K62:K65)</f>
        <v>#REF!</v>
      </c>
      <c r="L61" s="12" t="e">
        <f>SUM(L62:L65)</f>
        <v>#REF!</v>
      </c>
      <c r="M61" s="12">
        <f t="shared" ref="M61:P61" si="88">SUM(M62:M63)</f>
        <v>365000</v>
      </c>
      <c r="N61" s="12">
        <f t="shared" si="88"/>
        <v>48443.825071338506</v>
      </c>
      <c r="O61" s="12">
        <f t="shared" si="88"/>
        <v>882000</v>
      </c>
      <c r="P61" s="626">
        <f t="shared" si="88"/>
        <v>6645429</v>
      </c>
      <c r="Q61" s="12">
        <f t="shared" ref="Q61:T61" si="89">SUM(Q62:Q63)</f>
        <v>1082425</v>
      </c>
      <c r="R61" s="626">
        <f t="shared" ref="R61" si="90">SUM(R62:R63)</f>
        <v>8155531.1624999996</v>
      </c>
      <c r="S61" s="12">
        <f t="shared" si="89"/>
        <v>1366200</v>
      </c>
      <c r="T61" s="626">
        <f t="shared" si="89"/>
        <v>10293633.9</v>
      </c>
      <c r="U61" s="48">
        <f t="shared" si="63"/>
        <v>122.72392290249432</v>
      </c>
      <c r="V61" s="700">
        <f t="shared" si="64"/>
        <v>126.21659699286324</v>
      </c>
    </row>
    <row r="62" spans="1:22" ht="21" hidden="1" x14ac:dyDescent="0.25">
      <c r="A62" s="506" t="s">
        <v>537</v>
      </c>
      <c r="B62" s="359"/>
      <c r="C62" s="359"/>
      <c r="D62" s="359"/>
      <c r="E62" s="359"/>
      <c r="F62" s="359"/>
      <c r="G62" s="359"/>
      <c r="H62" s="25">
        <v>6381</v>
      </c>
      <c r="I62" s="15" t="s">
        <v>374</v>
      </c>
      <c r="J62" s="16">
        <v>0</v>
      </c>
      <c r="K62" s="16">
        <v>0</v>
      </c>
      <c r="L62" s="16">
        <v>0</v>
      </c>
      <c r="M62" s="16">
        <v>365000</v>
      </c>
      <c r="N62" s="16">
        <f>M62/7.5345</f>
        <v>48443.825071338506</v>
      </c>
      <c r="O62" s="16">
        <v>187000</v>
      </c>
      <c r="P62" s="647">
        <f>O62*7.5345</f>
        <v>1408951.5</v>
      </c>
      <c r="Q62" s="16">
        <v>144925</v>
      </c>
      <c r="R62" s="647">
        <f>Q62*7.5345</f>
        <v>1091937.4125000001</v>
      </c>
      <c r="S62" s="16">
        <v>146200</v>
      </c>
      <c r="T62" s="647">
        <f>S62*7.5345</f>
        <v>1101543.9000000001</v>
      </c>
      <c r="U62" s="48">
        <f t="shared" si="63"/>
        <v>77.5</v>
      </c>
      <c r="V62" s="700">
        <f t="shared" si="64"/>
        <v>100.87976539589442</v>
      </c>
    </row>
    <row r="63" spans="1:22" ht="21" hidden="1" x14ac:dyDescent="0.25">
      <c r="A63" s="506" t="s">
        <v>538</v>
      </c>
      <c r="B63" s="359"/>
      <c r="C63" s="359"/>
      <c r="D63" s="359"/>
      <c r="E63" s="359"/>
      <c r="F63" s="359"/>
      <c r="G63" s="359"/>
      <c r="H63" s="25">
        <v>6382</v>
      </c>
      <c r="I63" s="15" t="s">
        <v>379</v>
      </c>
      <c r="J63" s="16"/>
      <c r="K63" s="16"/>
      <c r="L63" s="16"/>
      <c r="M63" s="16">
        <v>0</v>
      </c>
      <c r="N63" s="16">
        <f>M63/7.5345</f>
        <v>0</v>
      </c>
      <c r="O63" s="16">
        <v>695000</v>
      </c>
      <c r="P63" s="647">
        <f>O63*7.5345</f>
        <v>5236477.5</v>
      </c>
      <c r="Q63" s="16">
        <v>937500</v>
      </c>
      <c r="R63" s="647">
        <f>Q63*7.5345</f>
        <v>7063593.75</v>
      </c>
      <c r="S63" s="16">
        <v>1220000</v>
      </c>
      <c r="T63" s="647">
        <f>S63*7.5345</f>
        <v>9192090</v>
      </c>
      <c r="U63" s="48">
        <v>0</v>
      </c>
      <c r="V63" s="700">
        <f t="shared" si="64"/>
        <v>130.13333333333333</v>
      </c>
    </row>
    <row r="64" spans="1:22" s="85" customFormat="1" x14ac:dyDescent="0.25">
      <c r="A64" s="507"/>
      <c r="B64" s="369"/>
      <c r="C64" s="369"/>
      <c r="D64" s="369"/>
      <c r="E64" s="369"/>
      <c r="F64" s="369"/>
      <c r="G64" s="369"/>
      <c r="H64" s="86">
        <v>64</v>
      </c>
      <c r="I64" s="87" t="s">
        <v>25</v>
      </c>
      <c r="J64" s="88" t="e">
        <f>SUM(J65+J68)</f>
        <v>#REF!</v>
      </c>
      <c r="K64" s="88" t="e">
        <f>SUM(K65,K68)</f>
        <v>#REF!</v>
      </c>
      <c r="L64" s="88" t="e">
        <f t="shared" ref="L64:P64" si="91">SUM(L65+L68)</f>
        <v>#REF!</v>
      </c>
      <c r="M64" s="88">
        <f t="shared" si="91"/>
        <v>497500</v>
      </c>
      <c r="N64" s="88">
        <f t="shared" si="91"/>
        <v>66029.597186276456</v>
      </c>
      <c r="O64" s="88">
        <f t="shared" si="91"/>
        <v>68200</v>
      </c>
      <c r="P64" s="648">
        <f t="shared" si="91"/>
        <v>513852.9</v>
      </c>
      <c r="Q64" s="88">
        <f t="shared" ref="Q64:T64" si="92">SUM(Q65+Q68)</f>
        <v>73200</v>
      </c>
      <c r="R64" s="648">
        <f t="shared" ref="R64" si="93">SUM(R65+R68)</f>
        <v>551525.4</v>
      </c>
      <c r="S64" s="88">
        <f t="shared" si="92"/>
        <v>73200</v>
      </c>
      <c r="T64" s="648">
        <f t="shared" si="92"/>
        <v>551525.4</v>
      </c>
      <c r="U64" s="82">
        <f>Q64/O64*100</f>
        <v>107.33137829912023</v>
      </c>
      <c r="V64" s="699">
        <f>S64/Q64*100</f>
        <v>100</v>
      </c>
    </row>
    <row r="65" spans="1:22" s="1" customFormat="1" hidden="1" x14ac:dyDescent="0.25">
      <c r="A65" s="506"/>
      <c r="B65" s="359"/>
      <c r="C65" s="359"/>
      <c r="D65" s="359"/>
      <c r="E65" s="359"/>
      <c r="F65" s="359"/>
      <c r="G65" s="359"/>
      <c r="H65" s="24">
        <v>641</v>
      </c>
      <c r="I65" s="8" t="s">
        <v>26</v>
      </c>
      <c r="J65" s="12">
        <f t="shared" ref="J65:M65" si="94">SUM(J66:J67)</f>
        <v>2317</v>
      </c>
      <c r="K65" s="12">
        <f t="shared" si="94"/>
        <v>6000</v>
      </c>
      <c r="L65" s="12">
        <f t="shared" si="94"/>
        <v>6000</v>
      </c>
      <c r="M65" s="12">
        <f t="shared" si="94"/>
        <v>6000</v>
      </c>
      <c r="N65" s="12">
        <f t="shared" ref="N65:O65" si="95">SUM(N66:N67)</f>
        <v>796.33685048775624</v>
      </c>
      <c r="O65" s="12">
        <f t="shared" si="95"/>
        <v>1000</v>
      </c>
      <c r="P65" s="626">
        <f t="shared" ref="P65:R65" si="96">SUM(P66:P67)</f>
        <v>7534.5</v>
      </c>
      <c r="Q65" s="12">
        <f t="shared" si="96"/>
        <v>1000</v>
      </c>
      <c r="R65" s="626">
        <f t="shared" si="96"/>
        <v>7534.5</v>
      </c>
      <c r="S65" s="12">
        <f t="shared" ref="S65:T65" si="97">SUM(S66:S67)</f>
        <v>1000</v>
      </c>
      <c r="T65" s="626">
        <f t="shared" si="97"/>
        <v>7534.5</v>
      </c>
      <c r="U65" s="48">
        <f t="shared" si="63"/>
        <v>100</v>
      </c>
      <c r="V65" s="700">
        <f t="shared" si="64"/>
        <v>100</v>
      </c>
    </row>
    <row r="66" spans="1:22" hidden="1" x14ac:dyDescent="0.25">
      <c r="A66" s="506" t="s">
        <v>551</v>
      </c>
      <c r="B66" s="359"/>
      <c r="C66" s="359"/>
      <c r="D66" s="359"/>
      <c r="E66" s="359"/>
      <c r="F66" s="359"/>
      <c r="G66" s="359"/>
      <c r="H66" s="25">
        <v>64132</v>
      </c>
      <c r="I66" s="47" t="s">
        <v>151</v>
      </c>
      <c r="J66" s="16">
        <v>2317</v>
      </c>
      <c r="K66" s="16">
        <v>5000</v>
      </c>
      <c r="L66" s="16">
        <v>5000</v>
      </c>
      <c r="M66" s="16">
        <v>1000</v>
      </c>
      <c r="N66" s="16">
        <f>M66/7.5345</f>
        <v>132.72280841462606</v>
      </c>
      <c r="O66" s="16">
        <v>500</v>
      </c>
      <c r="P66" s="647">
        <f>O66*7.5345</f>
        <v>3767.25</v>
      </c>
      <c r="Q66" s="16">
        <v>500</v>
      </c>
      <c r="R66" s="647">
        <f>Q66*7.5345</f>
        <v>3767.25</v>
      </c>
      <c r="S66" s="16">
        <v>500</v>
      </c>
      <c r="T66" s="647">
        <f>S66*7.5345</f>
        <v>3767.25</v>
      </c>
      <c r="U66" s="48">
        <f t="shared" si="63"/>
        <v>100</v>
      </c>
      <c r="V66" s="700">
        <f t="shared" si="64"/>
        <v>100</v>
      </c>
    </row>
    <row r="67" spans="1:22" hidden="1" x14ac:dyDescent="0.25">
      <c r="A67" s="506" t="s">
        <v>551</v>
      </c>
      <c r="B67" s="359"/>
      <c r="C67" s="359"/>
      <c r="D67" s="359"/>
      <c r="E67" s="359"/>
      <c r="F67" s="359"/>
      <c r="G67" s="359"/>
      <c r="H67" s="25">
        <v>64143</v>
      </c>
      <c r="I67" s="15" t="s">
        <v>27</v>
      </c>
      <c r="J67" s="16">
        <v>0</v>
      </c>
      <c r="K67" s="16">
        <v>1000</v>
      </c>
      <c r="L67" s="16">
        <v>1000</v>
      </c>
      <c r="M67" s="16">
        <v>5000</v>
      </c>
      <c r="N67" s="16">
        <f>M67/7.5345</f>
        <v>663.61404207313024</v>
      </c>
      <c r="O67" s="16">
        <v>500</v>
      </c>
      <c r="P67" s="647">
        <f>O67*7.5345</f>
        <v>3767.25</v>
      </c>
      <c r="Q67" s="16">
        <v>500</v>
      </c>
      <c r="R67" s="647">
        <f>Q67*7.5345</f>
        <v>3767.25</v>
      </c>
      <c r="S67" s="16">
        <v>500</v>
      </c>
      <c r="T67" s="647">
        <f>S67*7.5345</f>
        <v>3767.25</v>
      </c>
      <c r="U67" s="48">
        <f t="shared" si="63"/>
        <v>100</v>
      </c>
      <c r="V67" s="700">
        <f t="shared" si="64"/>
        <v>100</v>
      </c>
    </row>
    <row r="68" spans="1:22" s="1" customFormat="1" hidden="1" x14ac:dyDescent="0.25">
      <c r="A68" s="506"/>
      <c r="B68" s="359"/>
      <c r="C68" s="359"/>
      <c r="D68" s="359"/>
      <c r="E68" s="359"/>
      <c r="F68" s="359" t="s">
        <v>368</v>
      </c>
      <c r="G68" s="359"/>
      <c r="H68" s="24">
        <v>642</v>
      </c>
      <c r="I68" s="8" t="s">
        <v>28</v>
      </c>
      <c r="J68" s="12" t="e">
        <f>SUM(J69,#REF!,J73,#REF!,J74)</f>
        <v>#REF!</v>
      </c>
      <c r="K68" s="12" t="e">
        <f>SUM(K69,#REF!,K73,#REF!,K74)</f>
        <v>#REF!</v>
      </c>
      <c r="L68" s="12" t="e">
        <f>SUM(L69,#REF!,L73,#REF!,L74)</f>
        <v>#REF!</v>
      </c>
      <c r="M68" s="12">
        <f t="shared" ref="M68:P68" si="98">SUM(M69:M74)</f>
        <v>491500</v>
      </c>
      <c r="N68" s="12">
        <f t="shared" si="98"/>
        <v>65233.260335788706</v>
      </c>
      <c r="O68" s="12">
        <f t="shared" si="98"/>
        <v>67200</v>
      </c>
      <c r="P68" s="626">
        <f t="shared" si="98"/>
        <v>506318.4</v>
      </c>
      <c r="Q68" s="12">
        <f t="shared" ref="Q68:T68" si="99">SUM(Q69:Q74)</f>
        <v>72200</v>
      </c>
      <c r="R68" s="626">
        <f t="shared" ref="R68" si="100">SUM(R69:R74)</f>
        <v>543990.9</v>
      </c>
      <c r="S68" s="12">
        <f t="shared" si="99"/>
        <v>72200</v>
      </c>
      <c r="T68" s="626">
        <f t="shared" si="99"/>
        <v>543990.9</v>
      </c>
      <c r="U68" s="48">
        <f t="shared" si="63"/>
        <v>107.44047619047619</v>
      </c>
      <c r="V68" s="700">
        <f t="shared" si="64"/>
        <v>100</v>
      </c>
    </row>
    <row r="69" spans="1:22" s="29" customFormat="1" hidden="1" x14ac:dyDescent="0.25">
      <c r="A69" s="506" t="s">
        <v>654</v>
      </c>
      <c r="B69" s="372"/>
      <c r="C69" s="372"/>
      <c r="D69" s="372"/>
      <c r="E69" s="372"/>
      <c r="F69" s="372"/>
      <c r="G69" s="372"/>
      <c r="H69" s="27">
        <v>6421</v>
      </c>
      <c r="I69" s="10" t="s">
        <v>29</v>
      </c>
      <c r="J69" s="11">
        <v>68144</v>
      </c>
      <c r="K69" s="11">
        <v>40000</v>
      </c>
      <c r="L69" s="11">
        <v>40000</v>
      </c>
      <c r="M69" s="11">
        <v>35000</v>
      </c>
      <c r="N69" s="11">
        <f t="shared" ref="N69:N74" si="101">M69/7.5345</f>
        <v>4645.298294511912</v>
      </c>
      <c r="O69" s="11">
        <v>5000</v>
      </c>
      <c r="P69" s="647">
        <f t="shared" ref="P69:P74" si="102">O69*7.5345</f>
        <v>37672.5</v>
      </c>
      <c r="Q69" s="11">
        <v>5000</v>
      </c>
      <c r="R69" s="647">
        <f t="shared" ref="R69:R74" si="103">Q69*7.5345</f>
        <v>37672.5</v>
      </c>
      <c r="S69" s="11">
        <v>5000</v>
      </c>
      <c r="T69" s="647">
        <f t="shared" ref="T69" si="104">S69*7.5345</f>
        <v>37672.5</v>
      </c>
      <c r="U69" s="48">
        <f t="shared" si="63"/>
        <v>100</v>
      </c>
      <c r="V69" s="700">
        <f t="shared" si="64"/>
        <v>100</v>
      </c>
    </row>
    <row r="70" spans="1:22" hidden="1" x14ac:dyDescent="0.25">
      <c r="A70" s="508" t="s">
        <v>543</v>
      </c>
      <c r="B70" s="363"/>
      <c r="C70" s="363"/>
      <c r="D70" s="363"/>
      <c r="E70" s="363"/>
      <c r="F70" s="363"/>
      <c r="G70" s="363"/>
      <c r="H70" s="35">
        <v>64222</v>
      </c>
      <c r="I70" s="36" t="s">
        <v>152</v>
      </c>
      <c r="J70" s="17">
        <v>78532</v>
      </c>
      <c r="K70" s="17">
        <v>200000</v>
      </c>
      <c r="L70" s="17">
        <v>100000</v>
      </c>
      <c r="M70" s="17">
        <v>300000</v>
      </c>
      <c r="N70" s="16">
        <f t="shared" si="101"/>
        <v>39816.842524387816</v>
      </c>
      <c r="O70" s="17">
        <v>45000</v>
      </c>
      <c r="P70" s="647">
        <f t="shared" si="102"/>
        <v>339052.5</v>
      </c>
      <c r="Q70" s="17">
        <v>50000</v>
      </c>
      <c r="R70" s="647">
        <f t="shared" si="103"/>
        <v>376725</v>
      </c>
      <c r="S70" s="17">
        <v>50000</v>
      </c>
      <c r="T70" s="647">
        <f t="shared" ref="T70" si="105">S70*7.5345</f>
        <v>376725</v>
      </c>
      <c r="U70" s="48">
        <f t="shared" si="63"/>
        <v>111.11111111111111</v>
      </c>
      <c r="V70" s="700">
        <f t="shared" si="64"/>
        <v>100</v>
      </c>
    </row>
    <row r="71" spans="1:22" hidden="1" x14ac:dyDescent="0.25">
      <c r="A71" s="506" t="s">
        <v>544</v>
      </c>
      <c r="B71" s="359"/>
      <c r="C71" s="359"/>
      <c r="D71" s="359"/>
      <c r="E71" s="359"/>
      <c r="F71" s="359"/>
      <c r="G71" s="359"/>
      <c r="H71" s="25">
        <v>64222</v>
      </c>
      <c r="I71" s="15" t="s">
        <v>488</v>
      </c>
      <c r="J71" s="16">
        <v>83837</v>
      </c>
      <c r="K71" s="16">
        <v>50000</v>
      </c>
      <c r="L71" s="16">
        <v>50000</v>
      </c>
      <c r="M71" s="16">
        <v>30000</v>
      </c>
      <c r="N71" s="16">
        <f t="shared" si="101"/>
        <v>3981.6842524387812</v>
      </c>
      <c r="O71" s="16">
        <v>4000</v>
      </c>
      <c r="P71" s="647">
        <f t="shared" si="102"/>
        <v>30138</v>
      </c>
      <c r="Q71" s="16">
        <v>4000</v>
      </c>
      <c r="R71" s="647">
        <f t="shared" si="103"/>
        <v>30138</v>
      </c>
      <c r="S71" s="16">
        <v>4000</v>
      </c>
      <c r="T71" s="647">
        <f t="shared" ref="T71" si="106">S71*7.5345</f>
        <v>30138</v>
      </c>
      <c r="U71" s="48">
        <f t="shared" si="63"/>
        <v>100</v>
      </c>
      <c r="V71" s="700">
        <f t="shared" si="64"/>
        <v>100</v>
      </c>
    </row>
    <row r="72" spans="1:22" hidden="1" x14ac:dyDescent="0.25">
      <c r="A72" s="506" t="s">
        <v>545</v>
      </c>
      <c r="B72" s="359"/>
      <c r="C72" s="359"/>
      <c r="D72" s="359"/>
      <c r="E72" s="359"/>
      <c r="F72" s="359"/>
      <c r="G72" s="359"/>
      <c r="H72" s="25">
        <v>64225</v>
      </c>
      <c r="I72" s="15" t="s">
        <v>129</v>
      </c>
      <c r="J72" s="16">
        <v>13319</v>
      </c>
      <c r="K72" s="16">
        <v>20000</v>
      </c>
      <c r="L72" s="16">
        <v>20000</v>
      </c>
      <c r="M72" s="16">
        <v>50000</v>
      </c>
      <c r="N72" s="16">
        <f t="shared" si="101"/>
        <v>6636.1404207313026</v>
      </c>
      <c r="O72" s="16">
        <v>8000</v>
      </c>
      <c r="P72" s="647">
        <f t="shared" si="102"/>
        <v>60276</v>
      </c>
      <c r="Q72" s="16">
        <v>8000</v>
      </c>
      <c r="R72" s="647">
        <f t="shared" si="103"/>
        <v>60276</v>
      </c>
      <c r="S72" s="16">
        <v>8000</v>
      </c>
      <c r="T72" s="647">
        <f t="shared" ref="T72" si="107">S72*7.5345</f>
        <v>60276</v>
      </c>
      <c r="U72" s="48">
        <f t="shared" si="63"/>
        <v>100</v>
      </c>
      <c r="V72" s="700">
        <f t="shared" si="64"/>
        <v>100</v>
      </c>
    </row>
    <row r="73" spans="1:22" hidden="1" x14ac:dyDescent="0.25">
      <c r="A73" s="506" t="s">
        <v>554</v>
      </c>
      <c r="B73" s="359"/>
      <c r="C73" s="359"/>
      <c r="D73" s="359"/>
      <c r="E73" s="359"/>
      <c r="F73" s="359"/>
      <c r="G73" s="359"/>
      <c r="H73" s="24">
        <v>6423</v>
      </c>
      <c r="I73" s="8" t="s">
        <v>552</v>
      </c>
      <c r="J73" s="12" t="e">
        <f>SUM(#REF!)</f>
        <v>#REF!</v>
      </c>
      <c r="K73" s="12" t="e">
        <f>SUM(#REF!)</f>
        <v>#REF!</v>
      </c>
      <c r="L73" s="12" t="e">
        <f>SUM(#REF!)</f>
        <v>#REF!</v>
      </c>
      <c r="M73" s="12">
        <v>75000</v>
      </c>
      <c r="N73" s="16">
        <f t="shared" si="101"/>
        <v>9954.2106310969539</v>
      </c>
      <c r="O73" s="12">
        <v>5000</v>
      </c>
      <c r="P73" s="647">
        <f t="shared" si="102"/>
        <v>37672.5</v>
      </c>
      <c r="Q73" s="12">
        <v>5000</v>
      </c>
      <c r="R73" s="647">
        <f t="shared" si="103"/>
        <v>37672.5</v>
      </c>
      <c r="S73" s="12">
        <v>5000</v>
      </c>
      <c r="T73" s="647">
        <f t="shared" ref="T73" si="108">S73*7.5345</f>
        <v>37672.5</v>
      </c>
      <c r="U73" s="48">
        <f t="shared" si="63"/>
        <v>100</v>
      </c>
      <c r="V73" s="700">
        <f t="shared" si="64"/>
        <v>100</v>
      </c>
    </row>
    <row r="74" spans="1:22" s="29" customFormat="1" hidden="1" x14ac:dyDescent="0.25">
      <c r="A74" s="506" t="s">
        <v>553</v>
      </c>
      <c r="B74" s="359"/>
      <c r="C74" s="359"/>
      <c r="D74" s="359"/>
      <c r="E74" s="359"/>
      <c r="F74" s="359"/>
      <c r="G74" s="359"/>
      <c r="H74" s="28">
        <v>6429</v>
      </c>
      <c r="I74" s="9" t="s">
        <v>30</v>
      </c>
      <c r="J74" s="30" t="e">
        <f>SUM(#REF!)</f>
        <v>#REF!</v>
      </c>
      <c r="K74" s="30" t="e">
        <f>SUM(#REF!)</f>
        <v>#REF!</v>
      </c>
      <c r="L74" s="30" t="e">
        <f>SUM(#REF!)</f>
        <v>#REF!</v>
      </c>
      <c r="M74" s="30">
        <v>1500</v>
      </c>
      <c r="N74" s="16">
        <f t="shared" si="101"/>
        <v>199.08421262193906</v>
      </c>
      <c r="O74" s="12">
        <v>200</v>
      </c>
      <c r="P74" s="647">
        <f t="shared" si="102"/>
        <v>1506.9</v>
      </c>
      <c r="Q74" s="12">
        <v>200</v>
      </c>
      <c r="R74" s="647">
        <f t="shared" si="103"/>
        <v>1506.9</v>
      </c>
      <c r="S74" s="12">
        <v>200</v>
      </c>
      <c r="T74" s="647">
        <f t="shared" ref="T74" si="109">S74*7.5345</f>
        <v>1506.9</v>
      </c>
      <c r="U74" s="48">
        <f t="shared" si="63"/>
        <v>100</v>
      </c>
      <c r="V74" s="700">
        <f t="shared" si="64"/>
        <v>100</v>
      </c>
    </row>
    <row r="75" spans="1:22" s="707" customFormat="1" ht="20.399999999999999" x14ac:dyDescent="0.2">
      <c r="A75" s="507"/>
      <c r="B75" s="702"/>
      <c r="C75" s="702"/>
      <c r="D75" s="702"/>
      <c r="E75" s="702"/>
      <c r="F75" s="702"/>
      <c r="G75" s="702"/>
      <c r="H75" s="703">
        <v>65</v>
      </c>
      <c r="I75" s="704" t="s">
        <v>153</v>
      </c>
      <c r="J75" s="705" t="e">
        <f t="shared" ref="J75:M75" si="110">SUM(J76+J80+J84)</f>
        <v>#REF!</v>
      </c>
      <c r="K75" s="705" t="e">
        <f t="shared" si="110"/>
        <v>#REF!</v>
      </c>
      <c r="L75" s="705" t="e">
        <f t="shared" si="110"/>
        <v>#REF!</v>
      </c>
      <c r="M75" s="705">
        <f t="shared" si="110"/>
        <v>1513500</v>
      </c>
      <c r="N75" s="705">
        <f t="shared" ref="N75:O75" si="111">SUM(N76+N80+N84)</f>
        <v>200875.97053553653</v>
      </c>
      <c r="O75" s="705">
        <f t="shared" si="111"/>
        <v>197500</v>
      </c>
      <c r="P75" s="706">
        <f t="shared" ref="P75:R75" si="112">SUM(P76+P80+P84)</f>
        <v>1488063.75</v>
      </c>
      <c r="Q75" s="705">
        <f t="shared" si="112"/>
        <v>242600</v>
      </c>
      <c r="R75" s="706">
        <f t="shared" si="112"/>
        <v>1827869.7</v>
      </c>
      <c r="S75" s="705">
        <f t="shared" ref="S75:T75" si="113">SUM(S76+S80+S84)</f>
        <v>232600</v>
      </c>
      <c r="T75" s="706">
        <f t="shared" si="113"/>
        <v>1752524.7</v>
      </c>
      <c r="U75" s="82">
        <f>Q75/O75*100</f>
        <v>122.83544303797468</v>
      </c>
      <c r="V75" s="699">
        <f>S75/Q75*100</f>
        <v>95.877988458367682</v>
      </c>
    </row>
    <row r="76" spans="1:22" s="1" customFormat="1" hidden="1" x14ac:dyDescent="0.25">
      <c r="A76" s="506"/>
      <c r="B76" s="359"/>
      <c r="C76" s="359"/>
      <c r="D76" s="359"/>
      <c r="E76" s="359"/>
      <c r="F76" s="359"/>
      <c r="G76" s="359"/>
      <c r="H76" s="24">
        <v>651</v>
      </c>
      <c r="I76" s="8" t="s">
        <v>132</v>
      </c>
      <c r="J76" s="12" t="e">
        <f>SUM(J77+J78)</f>
        <v>#REF!</v>
      </c>
      <c r="K76" s="12" t="e">
        <f>SUM(K77+K78+K79)</f>
        <v>#REF!</v>
      </c>
      <c r="L76" s="12" t="e">
        <f>SUM(L77+L78+L79)</f>
        <v>#REF!</v>
      </c>
      <c r="M76" s="12">
        <f t="shared" ref="M76:P76" si="114">M77+M78+M79</f>
        <v>90000</v>
      </c>
      <c r="N76" s="12">
        <f t="shared" si="114"/>
        <v>11945.052757316345</v>
      </c>
      <c r="O76" s="12">
        <f t="shared" si="114"/>
        <v>12000</v>
      </c>
      <c r="P76" s="626">
        <f t="shared" si="114"/>
        <v>90414</v>
      </c>
      <c r="Q76" s="12">
        <f t="shared" ref="Q76:T76" si="115">Q77+Q78+Q79</f>
        <v>17000</v>
      </c>
      <c r="R76" s="626">
        <f t="shared" ref="R76" si="116">R77+R78+R79</f>
        <v>128086.5</v>
      </c>
      <c r="S76" s="12">
        <f t="shared" si="115"/>
        <v>17000</v>
      </c>
      <c r="T76" s="626">
        <f t="shared" si="115"/>
        <v>128086.5</v>
      </c>
      <c r="U76" s="48">
        <f t="shared" si="63"/>
        <v>141.66666666666669</v>
      </c>
      <c r="V76" s="700">
        <f t="shared" si="64"/>
        <v>100</v>
      </c>
    </row>
    <row r="77" spans="1:22" s="42" customFormat="1" hidden="1" x14ac:dyDescent="0.25">
      <c r="A77" s="506" t="s">
        <v>546</v>
      </c>
      <c r="B77" s="359"/>
      <c r="C77" s="359"/>
      <c r="D77" s="359"/>
      <c r="E77" s="359"/>
      <c r="F77" s="359"/>
      <c r="G77" s="359"/>
      <c r="H77" s="27">
        <v>6512</v>
      </c>
      <c r="I77" s="10" t="s">
        <v>154</v>
      </c>
      <c r="J77" s="11" t="e">
        <f>SUM(#REF!)</f>
        <v>#REF!</v>
      </c>
      <c r="K77" s="11" t="e">
        <f>SUM(#REF!)</f>
        <v>#REF!</v>
      </c>
      <c r="L77" s="11" t="e">
        <f>SUM(#REF!)</f>
        <v>#REF!</v>
      </c>
      <c r="M77" s="11">
        <v>75000</v>
      </c>
      <c r="N77" s="16">
        <f>M77/7.5345</f>
        <v>9954.2106310969539</v>
      </c>
      <c r="O77" s="16">
        <v>10000</v>
      </c>
      <c r="P77" s="647">
        <f>O77*7.5345</f>
        <v>75345</v>
      </c>
      <c r="Q77" s="16">
        <v>15000</v>
      </c>
      <c r="R77" s="647">
        <f>Q77*7.5345</f>
        <v>113017.5</v>
      </c>
      <c r="S77" s="16">
        <v>15000</v>
      </c>
      <c r="T77" s="647">
        <f>S77*7.5345</f>
        <v>113017.5</v>
      </c>
      <c r="U77" s="48">
        <f t="shared" si="63"/>
        <v>150</v>
      </c>
      <c r="V77" s="700">
        <f t="shared" si="64"/>
        <v>100</v>
      </c>
    </row>
    <row r="78" spans="1:22" s="42" customFormat="1" hidden="1" x14ac:dyDescent="0.25">
      <c r="A78" s="506" t="s">
        <v>551</v>
      </c>
      <c r="B78" s="359"/>
      <c r="C78" s="359"/>
      <c r="D78" s="359"/>
      <c r="E78" s="359"/>
      <c r="F78" s="359"/>
      <c r="G78" s="359"/>
      <c r="H78" s="27">
        <v>6513</v>
      </c>
      <c r="I78" s="10" t="s">
        <v>31</v>
      </c>
      <c r="J78" s="11" t="e">
        <f>SUM(#REF!,J79)</f>
        <v>#REF!</v>
      </c>
      <c r="K78" s="11" t="e">
        <f>SUM(#REF!)</f>
        <v>#REF!</v>
      </c>
      <c r="L78" s="11" t="e">
        <f>SUM(#REF!)</f>
        <v>#REF!</v>
      </c>
      <c r="M78" s="11">
        <v>0</v>
      </c>
      <c r="N78" s="16">
        <f>M78/7.5345</f>
        <v>0</v>
      </c>
      <c r="O78" s="16">
        <v>0</v>
      </c>
      <c r="P78" s="647">
        <f>O78*7.5345</f>
        <v>0</v>
      </c>
      <c r="Q78" s="16">
        <v>0</v>
      </c>
      <c r="R78" s="647">
        <f>Q78*7.5345</f>
        <v>0</v>
      </c>
      <c r="S78" s="16">
        <v>0</v>
      </c>
      <c r="T78" s="647">
        <f>S78*7.5345</f>
        <v>0</v>
      </c>
      <c r="U78" s="48">
        <v>0</v>
      </c>
      <c r="V78" s="700">
        <v>0</v>
      </c>
    </row>
    <row r="79" spans="1:22" s="42" customFormat="1" hidden="1" x14ac:dyDescent="0.25">
      <c r="A79" s="506" t="s">
        <v>553</v>
      </c>
      <c r="B79" s="359"/>
      <c r="C79" s="359"/>
      <c r="D79" s="359"/>
      <c r="E79" s="359"/>
      <c r="F79" s="359"/>
      <c r="G79" s="359"/>
      <c r="H79" s="27">
        <v>6514</v>
      </c>
      <c r="I79" s="10" t="s">
        <v>380</v>
      </c>
      <c r="J79" s="11">
        <v>0</v>
      </c>
      <c r="K79" s="11">
        <v>1000</v>
      </c>
      <c r="L79" s="11">
        <v>1000</v>
      </c>
      <c r="M79" s="11">
        <v>15000</v>
      </c>
      <c r="N79" s="16">
        <f>M79/7.5345</f>
        <v>1990.8421262193906</v>
      </c>
      <c r="O79" s="16">
        <v>2000</v>
      </c>
      <c r="P79" s="647">
        <f>O79*7.5345</f>
        <v>15069</v>
      </c>
      <c r="Q79" s="16">
        <v>2000</v>
      </c>
      <c r="R79" s="647">
        <f>Q79*7.5345</f>
        <v>15069</v>
      </c>
      <c r="S79" s="16">
        <v>2000</v>
      </c>
      <c r="T79" s="647">
        <f>S79*7.5345</f>
        <v>15069</v>
      </c>
      <c r="U79" s="48">
        <f t="shared" si="63"/>
        <v>100</v>
      </c>
      <c r="V79" s="700">
        <f t="shared" si="64"/>
        <v>100</v>
      </c>
    </row>
    <row r="80" spans="1:22" s="1" customFormat="1" hidden="1" x14ac:dyDescent="0.25">
      <c r="A80" s="506"/>
      <c r="B80" s="359"/>
      <c r="C80" s="359" t="s">
        <v>365</v>
      </c>
      <c r="D80" s="359"/>
      <c r="E80" s="359"/>
      <c r="F80" s="359"/>
      <c r="G80" s="359"/>
      <c r="H80" s="24">
        <v>652</v>
      </c>
      <c r="I80" s="8" t="s">
        <v>32</v>
      </c>
      <c r="J80" s="12" t="e">
        <f t="shared" ref="J80:P80" si="117">SUM(J81+J82+J83)</f>
        <v>#REF!</v>
      </c>
      <c r="K80" s="12" t="e">
        <f t="shared" si="117"/>
        <v>#REF!</v>
      </c>
      <c r="L80" s="12" t="e">
        <f t="shared" si="117"/>
        <v>#REF!</v>
      </c>
      <c r="M80" s="12">
        <f t="shared" si="117"/>
        <v>22500</v>
      </c>
      <c r="N80" s="12">
        <f t="shared" si="117"/>
        <v>2986.2631893290859</v>
      </c>
      <c r="O80" s="12">
        <f t="shared" si="117"/>
        <v>15500</v>
      </c>
      <c r="P80" s="626">
        <f t="shared" si="117"/>
        <v>116784.75</v>
      </c>
      <c r="Q80" s="12">
        <f t="shared" ref="Q80:T80" si="118">SUM(Q81+Q82+Q83)</f>
        <v>15500</v>
      </c>
      <c r="R80" s="626">
        <f t="shared" ref="R80" si="119">SUM(R81+R82+R83)</f>
        <v>116784.75</v>
      </c>
      <c r="S80" s="12">
        <f t="shared" si="118"/>
        <v>15500</v>
      </c>
      <c r="T80" s="626">
        <f t="shared" si="118"/>
        <v>116784.75</v>
      </c>
      <c r="U80" s="48">
        <f t="shared" si="63"/>
        <v>100</v>
      </c>
      <c r="V80" s="700">
        <f t="shared" si="64"/>
        <v>100</v>
      </c>
    </row>
    <row r="81" spans="1:22" s="42" customFormat="1" hidden="1" x14ac:dyDescent="0.25">
      <c r="A81" s="506" t="s">
        <v>551</v>
      </c>
      <c r="B81" s="359"/>
      <c r="C81" s="359"/>
      <c r="D81" s="359"/>
      <c r="E81" s="359"/>
      <c r="F81" s="359"/>
      <c r="G81" s="359"/>
      <c r="H81" s="27">
        <v>6522</v>
      </c>
      <c r="I81" s="10" t="s">
        <v>143</v>
      </c>
      <c r="J81" s="11" t="e">
        <f>SUM(#REF!)</f>
        <v>#REF!</v>
      </c>
      <c r="K81" s="11" t="e">
        <f>SUM(#REF!)</f>
        <v>#REF!</v>
      </c>
      <c r="L81" s="11" t="e">
        <f>SUM(#REF!)</f>
        <v>#REF!</v>
      </c>
      <c r="M81" s="11">
        <v>7500</v>
      </c>
      <c r="N81" s="16">
        <f>M81/7.5345</f>
        <v>995.4210631096953</v>
      </c>
      <c r="O81" s="16">
        <v>500</v>
      </c>
      <c r="P81" s="647">
        <f>O81*7.5345</f>
        <v>3767.25</v>
      </c>
      <c r="Q81" s="16">
        <v>500</v>
      </c>
      <c r="R81" s="647">
        <f>Q81*7.5345</f>
        <v>3767.25</v>
      </c>
      <c r="S81" s="16">
        <v>500</v>
      </c>
      <c r="T81" s="647">
        <f>S81*7.5345</f>
        <v>3767.25</v>
      </c>
      <c r="U81" s="48">
        <f t="shared" si="63"/>
        <v>100</v>
      </c>
      <c r="V81" s="700">
        <f t="shared" si="64"/>
        <v>100</v>
      </c>
    </row>
    <row r="82" spans="1:22" s="42" customFormat="1" hidden="1" x14ac:dyDescent="0.25">
      <c r="A82" s="506" t="s">
        <v>553</v>
      </c>
      <c r="B82" s="359"/>
      <c r="C82" s="359"/>
      <c r="D82" s="359"/>
      <c r="E82" s="359"/>
      <c r="F82" s="359"/>
      <c r="G82" s="359"/>
      <c r="H82" s="27">
        <v>6524</v>
      </c>
      <c r="I82" s="10" t="s">
        <v>35</v>
      </c>
      <c r="J82" s="11" t="e">
        <f>SUM(#REF!)</f>
        <v>#REF!</v>
      </c>
      <c r="K82" s="11" t="e">
        <f>SUM(#REF!)</f>
        <v>#REF!</v>
      </c>
      <c r="L82" s="11" t="e">
        <f>SUM(#REF!)</f>
        <v>#REF!</v>
      </c>
      <c r="M82" s="11">
        <v>15000</v>
      </c>
      <c r="N82" s="16">
        <f>M82/7.5345</f>
        <v>1990.8421262193906</v>
      </c>
      <c r="O82" s="16">
        <v>15000</v>
      </c>
      <c r="P82" s="647">
        <f>O82*7.5345</f>
        <v>113017.5</v>
      </c>
      <c r="Q82" s="16">
        <v>15000</v>
      </c>
      <c r="R82" s="647">
        <f>Q82*7.5345</f>
        <v>113017.5</v>
      </c>
      <c r="S82" s="16">
        <v>15000</v>
      </c>
      <c r="T82" s="647">
        <f>S82*7.5345</f>
        <v>113017.5</v>
      </c>
      <c r="U82" s="48">
        <f t="shared" si="63"/>
        <v>100</v>
      </c>
      <c r="V82" s="700">
        <f t="shared" si="64"/>
        <v>100</v>
      </c>
    </row>
    <row r="83" spans="1:22" s="42" customFormat="1" hidden="1" x14ac:dyDescent="0.25">
      <c r="A83" s="506"/>
      <c r="B83" s="359"/>
      <c r="C83" s="359"/>
      <c r="D83" s="359"/>
      <c r="E83" s="359"/>
      <c r="F83" s="359"/>
      <c r="G83" s="359"/>
      <c r="H83" s="27">
        <v>6526</v>
      </c>
      <c r="I83" s="10" t="s">
        <v>36</v>
      </c>
      <c r="J83" s="11" t="e">
        <f>SUM(#REF!)</f>
        <v>#REF!</v>
      </c>
      <c r="K83" s="11" t="e">
        <f>SUM(#REF!)</f>
        <v>#REF!</v>
      </c>
      <c r="L83" s="11" t="e">
        <f>SUM(#REF!)</f>
        <v>#REF!</v>
      </c>
      <c r="M83" s="11">
        <v>0</v>
      </c>
      <c r="N83" s="16">
        <f>M83/7.5345</f>
        <v>0</v>
      </c>
      <c r="O83" s="16">
        <v>0</v>
      </c>
      <c r="P83" s="647">
        <f>O83*7.5345</f>
        <v>0</v>
      </c>
      <c r="Q83" s="16">
        <v>0</v>
      </c>
      <c r="R83" s="647">
        <f>Q83*7.5345</f>
        <v>0</v>
      </c>
      <c r="S83" s="16">
        <v>0</v>
      </c>
      <c r="T83" s="647">
        <f>S83*7.5345</f>
        <v>0</v>
      </c>
      <c r="U83" s="48">
        <v>0</v>
      </c>
      <c r="V83" s="700">
        <v>0</v>
      </c>
    </row>
    <row r="84" spans="1:22" s="29" customFormat="1" hidden="1" x14ac:dyDescent="0.25">
      <c r="A84" s="506"/>
      <c r="B84" s="359"/>
      <c r="C84" s="359"/>
      <c r="D84" s="359"/>
      <c r="E84" s="359"/>
      <c r="F84" s="359"/>
      <c r="G84" s="359"/>
      <c r="H84" s="28">
        <v>653</v>
      </c>
      <c r="I84" s="9" t="s">
        <v>130</v>
      </c>
      <c r="J84" s="30">
        <f t="shared" ref="J84:M84" si="120">SUM(J85:J87)</f>
        <v>93473</v>
      </c>
      <c r="K84" s="30">
        <f t="shared" si="120"/>
        <v>450000</v>
      </c>
      <c r="L84" s="30">
        <f t="shared" si="120"/>
        <v>170000</v>
      </c>
      <c r="M84" s="30">
        <f t="shared" si="120"/>
        <v>1401000</v>
      </c>
      <c r="N84" s="30">
        <f t="shared" ref="N84:O84" si="121">SUM(N85:N87)</f>
        <v>185944.65458889111</v>
      </c>
      <c r="O84" s="12">
        <f t="shared" si="121"/>
        <v>170000</v>
      </c>
      <c r="P84" s="626">
        <f t="shared" ref="P84:R84" si="122">SUM(P85:P87)</f>
        <v>1280865</v>
      </c>
      <c r="Q84" s="12">
        <f t="shared" si="122"/>
        <v>210100</v>
      </c>
      <c r="R84" s="626">
        <f t="shared" si="122"/>
        <v>1582998.45</v>
      </c>
      <c r="S84" s="12">
        <f t="shared" ref="S84:T84" si="123">SUM(S85:S87)</f>
        <v>200100</v>
      </c>
      <c r="T84" s="626">
        <f t="shared" si="123"/>
        <v>1507653.45</v>
      </c>
      <c r="U84" s="48">
        <f t="shared" si="63"/>
        <v>123.58823529411764</v>
      </c>
      <c r="V84" s="700">
        <f t="shared" si="64"/>
        <v>95.240361732508333</v>
      </c>
    </row>
    <row r="85" spans="1:22" hidden="1" x14ac:dyDescent="0.25">
      <c r="A85" s="506" t="s">
        <v>547</v>
      </c>
      <c r="B85" s="359"/>
      <c r="C85" s="359"/>
      <c r="D85" s="359"/>
      <c r="E85" s="359"/>
      <c r="F85" s="359"/>
      <c r="G85" s="359"/>
      <c r="H85" s="27">
        <v>6531</v>
      </c>
      <c r="I85" s="10" t="s">
        <v>33</v>
      </c>
      <c r="J85" s="16">
        <v>70696</v>
      </c>
      <c r="K85" s="16">
        <v>300000</v>
      </c>
      <c r="L85" s="16">
        <v>150000</v>
      </c>
      <c r="M85" s="16">
        <v>600000</v>
      </c>
      <c r="N85" s="16">
        <f>M85/7.5345</f>
        <v>79633.685048775631</v>
      </c>
      <c r="O85" s="16">
        <v>60000</v>
      </c>
      <c r="P85" s="647">
        <f>O85*7.5345</f>
        <v>452070</v>
      </c>
      <c r="Q85" s="16">
        <v>90000</v>
      </c>
      <c r="R85" s="647">
        <f>Q85*7.5345</f>
        <v>678105</v>
      </c>
      <c r="S85" s="16">
        <v>80000</v>
      </c>
      <c r="T85" s="647">
        <f>S85*7.5345</f>
        <v>602760</v>
      </c>
      <c r="U85" s="48">
        <f t="shared" si="63"/>
        <v>150</v>
      </c>
      <c r="V85" s="700">
        <f t="shared" si="64"/>
        <v>88.888888888888886</v>
      </c>
    </row>
    <row r="86" spans="1:22" hidden="1" x14ac:dyDescent="0.25">
      <c r="A86" s="506" t="s">
        <v>548</v>
      </c>
      <c r="B86" s="359"/>
      <c r="C86" s="359"/>
      <c r="D86" s="359"/>
      <c r="E86" s="359"/>
      <c r="F86" s="359"/>
      <c r="G86" s="359"/>
      <c r="H86" s="27">
        <v>6532</v>
      </c>
      <c r="I86" s="10" t="s">
        <v>34</v>
      </c>
      <c r="J86" s="16">
        <v>0</v>
      </c>
      <c r="K86" s="16">
        <v>100000</v>
      </c>
      <c r="L86" s="16">
        <v>0</v>
      </c>
      <c r="M86" s="16">
        <v>800000</v>
      </c>
      <c r="N86" s="16">
        <f>M86/7.5345</f>
        <v>106178.24673170084</v>
      </c>
      <c r="O86" s="16">
        <v>110000</v>
      </c>
      <c r="P86" s="647">
        <f>O86*7.5345</f>
        <v>828795</v>
      </c>
      <c r="Q86" s="16">
        <v>120000</v>
      </c>
      <c r="R86" s="647">
        <f>Q86*7.5345</f>
        <v>904140</v>
      </c>
      <c r="S86" s="16">
        <v>120000</v>
      </c>
      <c r="T86" s="647">
        <f>S86*7.5345</f>
        <v>904140</v>
      </c>
      <c r="U86" s="48">
        <f t="shared" si="63"/>
        <v>109.09090909090908</v>
      </c>
      <c r="V86" s="700">
        <f t="shared" si="64"/>
        <v>100</v>
      </c>
    </row>
    <row r="87" spans="1:22" hidden="1" x14ac:dyDescent="0.25">
      <c r="A87" s="506" t="s">
        <v>553</v>
      </c>
      <c r="B87" s="359"/>
      <c r="C87" s="359"/>
      <c r="D87" s="359"/>
      <c r="E87" s="359"/>
      <c r="F87" s="359"/>
      <c r="G87" s="359"/>
      <c r="H87" s="27">
        <v>6533</v>
      </c>
      <c r="I87" s="10" t="s">
        <v>133</v>
      </c>
      <c r="J87" s="16">
        <v>22777</v>
      </c>
      <c r="K87" s="16">
        <v>50000</v>
      </c>
      <c r="L87" s="16">
        <v>20000</v>
      </c>
      <c r="M87" s="16">
        <v>1000</v>
      </c>
      <c r="N87" s="16">
        <f>M87/7.5345</f>
        <v>132.72280841462606</v>
      </c>
      <c r="O87" s="16">
        <v>0</v>
      </c>
      <c r="P87" s="647">
        <f>O87*7.5345</f>
        <v>0</v>
      </c>
      <c r="Q87" s="16">
        <v>100</v>
      </c>
      <c r="R87" s="647">
        <f>Q87*7.5345</f>
        <v>753.45</v>
      </c>
      <c r="S87" s="16">
        <v>100</v>
      </c>
      <c r="T87" s="647">
        <f>S87*7.5345</f>
        <v>753.45</v>
      </c>
      <c r="U87" s="48" t="e">
        <f t="shared" si="63"/>
        <v>#DIV/0!</v>
      </c>
      <c r="V87" s="700">
        <f t="shared" si="64"/>
        <v>100</v>
      </c>
    </row>
    <row r="88" spans="1:22" s="94" customFormat="1" x14ac:dyDescent="0.25">
      <c r="A88" s="507"/>
      <c r="B88" s="369"/>
      <c r="C88" s="369"/>
      <c r="D88" s="369"/>
      <c r="E88" s="369"/>
      <c r="F88" s="369"/>
      <c r="G88" s="369"/>
      <c r="H88" s="96">
        <v>66</v>
      </c>
      <c r="I88" s="97" t="s">
        <v>479</v>
      </c>
      <c r="J88" s="98">
        <f>SUM(J89)</f>
        <v>4212</v>
      </c>
      <c r="K88" s="98"/>
      <c r="L88" s="98"/>
      <c r="M88" s="88">
        <f t="shared" ref="M88:T88" si="124">SUM(M89)</f>
        <v>75000</v>
      </c>
      <c r="N88" s="88">
        <f t="shared" si="124"/>
        <v>9954.2106310969539</v>
      </c>
      <c r="O88" s="88">
        <f t="shared" si="124"/>
        <v>10000</v>
      </c>
      <c r="P88" s="648">
        <f t="shared" si="124"/>
        <v>75345</v>
      </c>
      <c r="Q88" s="88">
        <f t="shared" si="124"/>
        <v>11000</v>
      </c>
      <c r="R88" s="648">
        <f t="shared" si="124"/>
        <v>82879.5</v>
      </c>
      <c r="S88" s="88">
        <f t="shared" si="124"/>
        <v>11000</v>
      </c>
      <c r="T88" s="648">
        <f t="shared" si="124"/>
        <v>82879.5</v>
      </c>
      <c r="U88" s="82">
        <f>Q88/O88*100</f>
        <v>110.00000000000001</v>
      </c>
      <c r="V88" s="699">
        <f>S88/Q88*100</f>
        <v>100</v>
      </c>
    </row>
    <row r="89" spans="1:22" hidden="1" x14ac:dyDescent="0.25">
      <c r="A89" s="506"/>
      <c r="B89" s="359"/>
      <c r="C89" s="359"/>
      <c r="D89" s="359"/>
      <c r="E89" s="359"/>
      <c r="F89" s="359"/>
      <c r="G89" s="359"/>
      <c r="H89" s="28">
        <v>661</v>
      </c>
      <c r="I89" s="9" t="s">
        <v>479</v>
      </c>
      <c r="J89" s="30">
        <v>4212</v>
      </c>
      <c r="K89" s="30">
        <v>0</v>
      </c>
      <c r="L89" s="30">
        <v>0</v>
      </c>
      <c r="M89" s="30">
        <f t="shared" ref="M89:T89" si="125">M90</f>
        <v>75000</v>
      </c>
      <c r="N89" s="30">
        <f t="shared" si="125"/>
        <v>9954.2106310969539</v>
      </c>
      <c r="O89" s="12">
        <f t="shared" si="125"/>
        <v>10000</v>
      </c>
      <c r="P89" s="626">
        <f t="shared" si="125"/>
        <v>75345</v>
      </c>
      <c r="Q89" s="12">
        <f t="shared" si="125"/>
        <v>11000</v>
      </c>
      <c r="R89" s="626">
        <f t="shared" si="125"/>
        <v>82879.5</v>
      </c>
      <c r="S89" s="12">
        <f t="shared" si="125"/>
        <v>11000</v>
      </c>
      <c r="T89" s="626">
        <f t="shared" si="125"/>
        <v>82879.5</v>
      </c>
      <c r="U89" s="48">
        <f t="shared" si="63"/>
        <v>110.00000000000001</v>
      </c>
      <c r="V89" s="700">
        <f t="shared" si="64"/>
        <v>100</v>
      </c>
    </row>
    <row r="90" spans="1:22" hidden="1" x14ac:dyDescent="0.25">
      <c r="A90" s="509" t="s">
        <v>549</v>
      </c>
      <c r="B90" s="374"/>
      <c r="C90" s="374"/>
      <c r="D90" s="374"/>
      <c r="E90" s="374"/>
      <c r="F90" s="374"/>
      <c r="G90" s="374"/>
      <c r="H90" s="375">
        <v>6615</v>
      </c>
      <c r="I90" s="376" t="s">
        <v>480</v>
      </c>
      <c r="J90" s="377"/>
      <c r="K90" s="377"/>
      <c r="L90" s="377"/>
      <c r="M90" s="377">
        <v>75000</v>
      </c>
      <c r="N90" s="16">
        <f>M90/7.5345</f>
        <v>9954.2106310969539</v>
      </c>
      <c r="O90" s="377">
        <v>10000</v>
      </c>
      <c r="P90" s="647">
        <f>O90*7.5345</f>
        <v>75345</v>
      </c>
      <c r="Q90" s="377">
        <v>11000</v>
      </c>
      <c r="R90" s="647">
        <f>Q90*7.5345</f>
        <v>82879.5</v>
      </c>
      <c r="S90" s="377">
        <v>11000</v>
      </c>
      <c r="T90" s="647">
        <f>S90*7.5345</f>
        <v>82879.5</v>
      </c>
      <c r="U90" s="48">
        <f t="shared" si="63"/>
        <v>110.00000000000001</v>
      </c>
      <c r="V90" s="700">
        <f t="shared" si="64"/>
        <v>100</v>
      </c>
    </row>
    <row r="91" spans="1:22" s="94" customFormat="1" x14ac:dyDescent="0.25">
      <c r="A91" s="507"/>
      <c r="B91" s="369"/>
      <c r="C91" s="369"/>
      <c r="D91" s="369"/>
      <c r="E91" s="369"/>
      <c r="F91" s="369"/>
      <c r="G91" s="369"/>
      <c r="H91" s="96">
        <v>68</v>
      </c>
      <c r="I91" s="97" t="s">
        <v>381</v>
      </c>
      <c r="J91" s="98">
        <f>SUM(J92)</f>
        <v>4212</v>
      </c>
      <c r="K91" s="98"/>
      <c r="L91" s="98"/>
      <c r="M91" s="88">
        <f t="shared" ref="M91:T91" si="126">SUM(M92)</f>
        <v>7500</v>
      </c>
      <c r="N91" s="88">
        <f t="shared" si="126"/>
        <v>995.4210631096953</v>
      </c>
      <c r="O91" s="88">
        <f t="shared" si="126"/>
        <v>1000</v>
      </c>
      <c r="P91" s="648">
        <f t="shared" si="126"/>
        <v>7534.5</v>
      </c>
      <c r="Q91" s="88">
        <f t="shared" si="126"/>
        <v>1000</v>
      </c>
      <c r="R91" s="648">
        <f t="shared" si="126"/>
        <v>7534.5</v>
      </c>
      <c r="S91" s="88">
        <f t="shared" si="126"/>
        <v>1000</v>
      </c>
      <c r="T91" s="648">
        <f t="shared" si="126"/>
        <v>7534.5</v>
      </c>
      <c r="U91" s="82">
        <f>Q91/O91*100</f>
        <v>100</v>
      </c>
      <c r="V91" s="699">
        <f>S91/Q91*100</f>
        <v>100</v>
      </c>
    </row>
    <row r="92" spans="1:22" hidden="1" x14ac:dyDescent="0.25">
      <c r="A92" s="506"/>
      <c r="B92" s="359"/>
      <c r="C92" s="359"/>
      <c r="D92" s="359"/>
      <c r="E92" s="359"/>
      <c r="F92" s="359"/>
      <c r="G92" s="359"/>
      <c r="H92" s="28">
        <v>681</v>
      </c>
      <c r="I92" s="9" t="s">
        <v>382</v>
      </c>
      <c r="J92" s="30">
        <v>4212</v>
      </c>
      <c r="K92" s="30">
        <v>0</v>
      </c>
      <c r="L92" s="30">
        <v>0</v>
      </c>
      <c r="M92" s="30">
        <f t="shared" ref="M92:T92" si="127">M93</f>
        <v>7500</v>
      </c>
      <c r="N92" s="30">
        <f t="shared" si="127"/>
        <v>995.4210631096953</v>
      </c>
      <c r="O92" s="12">
        <f t="shared" si="127"/>
        <v>1000</v>
      </c>
      <c r="P92" s="626">
        <f t="shared" si="127"/>
        <v>7534.5</v>
      </c>
      <c r="Q92" s="12">
        <f t="shared" si="127"/>
        <v>1000</v>
      </c>
      <c r="R92" s="626">
        <f t="shared" si="127"/>
        <v>7534.5</v>
      </c>
      <c r="S92" s="12">
        <f t="shared" si="127"/>
        <v>1000</v>
      </c>
      <c r="T92" s="626">
        <f t="shared" si="127"/>
        <v>7534.5</v>
      </c>
      <c r="U92" s="48">
        <f t="shared" si="63"/>
        <v>100</v>
      </c>
      <c r="V92" s="700">
        <f t="shared" ref="V92:V93" si="128">S92/Q92*100</f>
        <v>100</v>
      </c>
    </row>
    <row r="93" spans="1:22" hidden="1" x14ac:dyDescent="0.25">
      <c r="A93" s="509" t="s">
        <v>551</v>
      </c>
      <c r="B93" s="374"/>
      <c r="C93" s="374"/>
      <c r="D93" s="374"/>
      <c r="E93" s="374"/>
      <c r="F93" s="374"/>
      <c r="G93" s="374"/>
      <c r="H93" s="375">
        <v>6819</v>
      </c>
      <c r="I93" s="376" t="s">
        <v>383</v>
      </c>
      <c r="J93" s="377"/>
      <c r="K93" s="377"/>
      <c r="L93" s="377"/>
      <c r="M93" s="377">
        <v>7500</v>
      </c>
      <c r="N93" s="16">
        <f>M93/7.5345</f>
        <v>995.4210631096953</v>
      </c>
      <c r="O93" s="377">
        <v>1000</v>
      </c>
      <c r="P93" s="647">
        <f>O93*7.5345</f>
        <v>7534.5</v>
      </c>
      <c r="Q93" s="377">
        <v>1000</v>
      </c>
      <c r="R93" s="647">
        <f>Q93*7.5345</f>
        <v>7534.5</v>
      </c>
      <c r="S93" s="377">
        <v>1000</v>
      </c>
      <c r="T93" s="647">
        <f>S93*7.5345</f>
        <v>7534.5</v>
      </c>
      <c r="U93" s="52">
        <f t="shared" si="63"/>
        <v>100</v>
      </c>
      <c r="V93" s="700">
        <f t="shared" si="128"/>
        <v>100</v>
      </c>
    </row>
    <row r="94" spans="1:22" s="63" customFormat="1" ht="13.8" thickBot="1" x14ac:dyDescent="0.3">
      <c r="A94" s="510"/>
      <c r="B94" s="370"/>
      <c r="C94" s="370"/>
      <c r="D94" s="370"/>
      <c r="E94" s="370"/>
      <c r="F94" s="370"/>
      <c r="G94" s="370"/>
      <c r="H94" s="60">
        <v>7</v>
      </c>
      <c r="I94" s="61" t="s">
        <v>2</v>
      </c>
      <c r="J94" s="62" t="e">
        <f t="shared" ref="J94:T94" si="129">SUM(J95)</f>
        <v>#REF!</v>
      </c>
      <c r="K94" s="62" t="e">
        <f t="shared" si="129"/>
        <v>#REF!</v>
      </c>
      <c r="L94" s="62" t="e">
        <f t="shared" si="129"/>
        <v>#REF!</v>
      </c>
      <c r="M94" s="62">
        <f t="shared" si="129"/>
        <v>100000</v>
      </c>
      <c r="N94" s="62">
        <f t="shared" si="129"/>
        <v>13272.280841462605</v>
      </c>
      <c r="O94" s="62">
        <f t="shared" si="129"/>
        <v>0</v>
      </c>
      <c r="P94" s="650">
        <f t="shared" si="129"/>
        <v>0</v>
      </c>
      <c r="Q94" s="62">
        <f t="shared" si="129"/>
        <v>0</v>
      </c>
      <c r="R94" s="650">
        <f t="shared" si="129"/>
        <v>0</v>
      </c>
      <c r="S94" s="62">
        <f t="shared" si="129"/>
        <v>0</v>
      </c>
      <c r="T94" s="650">
        <f t="shared" si="129"/>
        <v>0</v>
      </c>
      <c r="U94" s="711" t="e">
        <f>Q94/O94*100</f>
        <v>#DIV/0!</v>
      </c>
      <c r="V94" s="701" t="e">
        <f>S94/Q94*100</f>
        <v>#DIV/0!</v>
      </c>
    </row>
    <row r="95" spans="1:22" s="85" customFormat="1" x14ac:dyDescent="0.25">
      <c r="A95" s="505"/>
      <c r="B95" s="368"/>
      <c r="C95" s="368"/>
      <c r="D95" s="368"/>
      <c r="E95" s="368"/>
      <c r="F95" s="368"/>
      <c r="G95" s="368"/>
      <c r="H95" s="79">
        <v>71</v>
      </c>
      <c r="I95" s="89" t="s">
        <v>39</v>
      </c>
      <c r="J95" s="81" t="e">
        <f>SUM(J96+#REF!)</f>
        <v>#REF!</v>
      </c>
      <c r="K95" s="81" t="e">
        <f>SUM(K96+#REF!)</f>
        <v>#REF!</v>
      </c>
      <c r="L95" s="81" t="e">
        <f>SUM(L96+#REF!)</f>
        <v>#REF!</v>
      </c>
      <c r="M95" s="81">
        <f t="shared" ref="M95:T95" si="130">M96</f>
        <v>100000</v>
      </c>
      <c r="N95" s="81">
        <f t="shared" si="130"/>
        <v>13272.280841462605</v>
      </c>
      <c r="O95" s="81">
        <f t="shared" si="130"/>
        <v>0</v>
      </c>
      <c r="P95" s="646">
        <f t="shared" si="130"/>
        <v>0</v>
      </c>
      <c r="Q95" s="81">
        <f t="shared" si="130"/>
        <v>0</v>
      </c>
      <c r="R95" s="646">
        <f t="shared" si="130"/>
        <v>0</v>
      </c>
      <c r="S95" s="81">
        <f t="shared" si="130"/>
        <v>0</v>
      </c>
      <c r="T95" s="646">
        <f t="shared" si="130"/>
        <v>0</v>
      </c>
      <c r="U95" s="82" t="e">
        <f>Q95/O95*100</f>
        <v>#DIV/0!</v>
      </c>
      <c r="V95" s="699" t="e">
        <f>S95/Q95*100</f>
        <v>#DIV/0!</v>
      </c>
    </row>
    <row r="96" spans="1:22" s="1" customFormat="1" hidden="1" x14ac:dyDescent="0.25">
      <c r="A96" s="506" t="s">
        <v>550</v>
      </c>
      <c r="B96" s="359"/>
      <c r="C96" s="359" t="s">
        <v>365</v>
      </c>
      <c r="D96" s="359"/>
      <c r="E96" s="359"/>
      <c r="F96" s="359"/>
      <c r="G96" s="359"/>
      <c r="H96" s="24">
        <v>711</v>
      </c>
      <c r="I96" s="8" t="s">
        <v>384</v>
      </c>
      <c r="J96" s="12" t="e">
        <f>SUM(#REF!)</f>
        <v>#REF!</v>
      </c>
      <c r="K96" s="12" t="e">
        <f>SUM(#REF!)</f>
        <v>#REF!</v>
      </c>
      <c r="L96" s="12" t="e">
        <f>SUM(#REF!)</f>
        <v>#REF!</v>
      </c>
      <c r="M96" s="12">
        <v>100000</v>
      </c>
      <c r="N96" s="16">
        <f>M96/7.5345</f>
        <v>13272.280841462605</v>
      </c>
      <c r="O96" s="12">
        <v>0</v>
      </c>
      <c r="P96" s="647">
        <f>O96*7.5345</f>
        <v>0</v>
      </c>
      <c r="Q96" s="12">
        <v>0</v>
      </c>
      <c r="R96" s="647">
        <f>Q96*7.5345</f>
        <v>0</v>
      </c>
      <c r="S96" s="12">
        <v>0</v>
      </c>
      <c r="T96" s="647">
        <f>S96*7.5345</f>
        <v>0</v>
      </c>
      <c r="U96" s="52" t="e">
        <f t="shared" ref="U96" si="131">Q96/O96*100</f>
        <v>#DIV/0!</v>
      </c>
      <c r="V96" s="700" t="e">
        <f t="shared" ref="V96" si="132">S96/Q96*100</f>
        <v>#DIV/0!</v>
      </c>
    </row>
    <row r="97" spans="1:22" s="63" customFormat="1" ht="13.8" thickBot="1" x14ac:dyDescent="0.3">
      <c r="A97" s="510"/>
      <c r="B97" s="370"/>
      <c r="C97" s="370"/>
      <c r="D97" s="370"/>
      <c r="E97" s="370"/>
      <c r="F97" s="370"/>
      <c r="G97" s="370"/>
      <c r="H97" s="60">
        <v>3</v>
      </c>
      <c r="I97" s="61" t="s">
        <v>3</v>
      </c>
      <c r="J97" s="62" t="e">
        <f t="shared" ref="J97:L97" si="133">SUM(J98+J106+J136+J143+J147+J151+J155)</f>
        <v>#REF!</v>
      </c>
      <c r="K97" s="62" t="e">
        <f t="shared" si="133"/>
        <v>#REF!</v>
      </c>
      <c r="L97" s="62" t="e">
        <f t="shared" si="133"/>
        <v>#REF!</v>
      </c>
      <c r="M97" s="62" t="e">
        <f t="shared" ref="M97:T97" si="134">SUM(M98+M106+M136+M143+M147+M151+M155)</f>
        <v>#REF!</v>
      </c>
      <c r="N97" s="62" t="e">
        <f t="shared" si="134"/>
        <v>#REF!</v>
      </c>
      <c r="O97" s="62">
        <f>SUM(O98+O106+O136+O143+O147+O151+O155)</f>
        <v>1580950</v>
      </c>
      <c r="P97" s="650" t="e">
        <f t="shared" si="134"/>
        <v>#REF!</v>
      </c>
      <c r="Q97" s="62">
        <f t="shared" si="134"/>
        <v>1586250</v>
      </c>
      <c r="R97" s="650" t="e">
        <f t="shared" si="134"/>
        <v>#REF!</v>
      </c>
      <c r="S97" s="62">
        <f t="shared" si="134"/>
        <v>1663251</v>
      </c>
      <c r="T97" s="650">
        <f t="shared" si="134"/>
        <v>12531764.659499999</v>
      </c>
      <c r="U97" s="711">
        <f>Q97/O97*100</f>
        <v>100.33524146873715</v>
      </c>
      <c r="V97" s="701">
        <f>S97/Q97*100</f>
        <v>104.85427895981087</v>
      </c>
    </row>
    <row r="98" spans="1:22" s="85" customFormat="1" x14ac:dyDescent="0.25">
      <c r="A98" s="505"/>
      <c r="B98" s="368"/>
      <c r="C98" s="368"/>
      <c r="D98" s="368"/>
      <c r="E98" s="368"/>
      <c r="F98" s="368"/>
      <c r="G98" s="368"/>
      <c r="H98" s="79">
        <v>31</v>
      </c>
      <c r="I98" s="80" t="s">
        <v>41</v>
      </c>
      <c r="J98" s="81">
        <f t="shared" ref="J98:S98" si="135">SUM(J99+J101+J103)</f>
        <v>454690</v>
      </c>
      <c r="K98" s="81">
        <f t="shared" si="135"/>
        <v>613000</v>
      </c>
      <c r="L98" s="81">
        <f t="shared" si="135"/>
        <v>498000</v>
      </c>
      <c r="M98" s="81">
        <f t="shared" si="135"/>
        <v>1146300</v>
      </c>
      <c r="N98" s="81">
        <f t="shared" si="135"/>
        <v>152140.15528568585</v>
      </c>
      <c r="O98" s="81">
        <f t="shared" si="135"/>
        <v>320200</v>
      </c>
      <c r="P98" s="81">
        <f t="shared" si="135"/>
        <v>2412546.9</v>
      </c>
      <c r="Q98" s="81">
        <f t="shared" si="135"/>
        <v>327500</v>
      </c>
      <c r="R98" s="81">
        <f t="shared" si="135"/>
        <v>2467548.75</v>
      </c>
      <c r="S98" s="81">
        <f t="shared" si="135"/>
        <v>333500</v>
      </c>
      <c r="T98" s="646">
        <f t="shared" ref="T98" si="136">SUM(T99+T101+T103)</f>
        <v>2512755.75</v>
      </c>
      <c r="U98" s="82">
        <f>Q98/O98*100</f>
        <v>102.27982510930669</v>
      </c>
      <c r="V98" s="699">
        <f>S98/Q98*100</f>
        <v>101.83206106870229</v>
      </c>
    </row>
    <row r="99" spans="1:22" s="1" customFormat="1" hidden="1" x14ac:dyDescent="0.25">
      <c r="A99" s="506"/>
      <c r="B99" s="359"/>
      <c r="C99" s="359" t="s">
        <v>365</v>
      </c>
      <c r="D99" s="359"/>
      <c r="E99" s="359"/>
      <c r="F99" s="359"/>
      <c r="G99" s="359"/>
      <c r="H99" s="24">
        <v>311</v>
      </c>
      <c r="I99" s="8" t="s">
        <v>42</v>
      </c>
      <c r="J99" s="12">
        <f>SUM(J100)</f>
        <v>382608</v>
      </c>
      <c r="K99" s="12">
        <f>SUM(K100)</f>
        <v>500000</v>
      </c>
      <c r="L99" s="12">
        <f>SUM(L100)</f>
        <v>400000</v>
      </c>
      <c r="M99" s="12">
        <f t="shared" ref="M99:T99" si="137">M100</f>
        <v>923300</v>
      </c>
      <c r="N99" s="12">
        <f t="shared" si="137"/>
        <v>122542.96900922424</v>
      </c>
      <c r="O99" s="12">
        <f t="shared" si="137"/>
        <v>259000</v>
      </c>
      <c r="P99" s="626">
        <f t="shared" si="137"/>
        <v>1951435.5</v>
      </c>
      <c r="Q99" s="12">
        <f t="shared" si="137"/>
        <v>265000</v>
      </c>
      <c r="R99" s="626">
        <f t="shared" si="137"/>
        <v>1996642.5</v>
      </c>
      <c r="S99" s="12">
        <f t="shared" si="137"/>
        <v>270000</v>
      </c>
      <c r="T99" s="626">
        <f t="shared" si="137"/>
        <v>2034315</v>
      </c>
      <c r="U99" s="48">
        <f t="shared" ref="U99:U104" si="138">Q99/O99*100</f>
        <v>102.31660231660231</v>
      </c>
      <c r="V99" s="700">
        <f t="shared" ref="V99:V105" si="139">S99/Q99*100</f>
        <v>101.88679245283019</v>
      </c>
    </row>
    <row r="100" spans="1:22" hidden="1" x14ac:dyDescent="0.25">
      <c r="A100" s="506"/>
      <c r="B100" s="359"/>
      <c r="C100" s="359"/>
      <c r="D100" s="359"/>
      <c r="E100" s="359"/>
      <c r="F100" s="359"/>
      <c r="G100" s="359"/>
      <c r="H100" s="25">
        <v>3111</v>
      </c>
      <c r="I100" s="15" t="s">
        <v>134</v>
      </c>
      <c r="J100" s="16">
        <v>382608</v>
      </c>
      <c r="K100" s="16">
        <v>500000</v>
      </c>
      <c r="L100" s="16">
        <v>400000</v>
      </c>
      <c r="M100" s="16">
        <f>Posebni!F15+Posebni!F538+Posebni!F570</f>
        <v>923300</v>
      </c>
      <c r="N100" s="16">
        <f>Posebni!G15+Posebni!G538+Posebni!G570</f>
        <v>122542.96900922424</v>
      </c>
      <c r="O100" s="16">
        <f>Posebni!H15+Posebni!H538+Posebni!H539+Posebni!H570+Posebni!H571</f>
        <v>259000</v>
      </c>
      <c r="P100" s="16">
        <f>Posebni!I15+Posebni!I538+Posebni!I539+Posebni!I570+Posebni!I571</f>
        <v>1951435.5</v>
      </c>
      <c r="Q100" s="16">
        <f>Posebni!J15+Posebni!J538+Posebni!J539+Posebni!J570+Posebni!J571</f>
        <v>265000</v>
      </c>
      <c r="R100" s="16">
        <f>Posebni!K15+Posebni!K538+Posebni!K539+Posebni!K570+Posebni!K571</f>
        <v>1996642.5</v>
      </c>
      <c r="S100" s="16">
        <f>Posebni!L15+Posebni!L538+Posebni!L539+Posebni!L570+Posebni!L571</f>
        <v>270000</v>
      </c>
      <c r="T100" s="647">
        <f>S100*7.5345</f>
        <v>2034315</v>
      </c>
      <c r="U100" s="48">
        <f t="shared" si="138"/>
        <v>102.31660231660231</v>
      </c>
      <c r="V100" s="700">
        <f t="shared" si="139"/>
        <v>101.88679245283019</v>
      </c>
    </row>
    <row r="101" spans="1:22" s="1" customFormat="1" hidden="1" x14ac:dyDescent="0.25">
      <c r="A101" s="506"/>
      <c r="B101" s="359"/>
      <c r="C101" s="359"/>
      <c r="D101" s="359"/>
      <c r="E101" s="359"/>
      <c r="F101" s="359"/>
      <c r="G101" s="359"/>
      <c r="H101" s="24">
        <v>312</v>
      </c>
      <c r="I101" s="8" t="s">
        <v>43</v>
      </c>
      <c r="J101" s="12">
        <f t="shared" ref="J101:T101" si="140">SUM(J102)</f>
        <v>13926</v>
      </c>
      <c r="K101" s="12">
        <f t="shared" si="140"/>
        <v>25000</v>
      </c>
      <c r="L101" s="12">
        <f t="shared" si="140"/>
        <v>25000</v>
      </c>
      <c r="M101" s="12">
        <f t="shared" si="140"/>
        <v>70000</v>
      </c>
      <c r="N101" s="12">
        <f t="shared" si="140"/>
        <v>9290.596589023824</v>
      </c>
      <c r="O101" s="12">
        <f t="shared" si="140"/>
        <v>20400</v>
      </c>
      <c r="P101" s="626">
        <f t="shared" si="140"/>
        <v>153703.80000000002</v>
      </c>
      <c r="Q101" s="12">
        <f t="shared" si="140"/>
        <v>21000</v>
      </c>
      <c r="R101" s="626">
        <f t="shared" si="140"/>
        <v>158224.5</v>
      </c>
      <c r="S101" s="12">
        <f t="shared" si="140"/>
        <v>21500</v>
      </c>
      <c r="T101" s="626">
        <f t="shared" si="140"/>
        <v>161991.75</v>
      </c>
      <c r="U101" s="48">
        <f t="shared" si="138"/>
        <v>102.94117647058823</v>
      </c>
      <c r="V101" s="700">
        <f t="shared" si="139"/>
        <v>102.38095238095238</v>
      </c>
    </row>
    <row r="102" spans="1:22" hidden="1" x14ac:dyDescent="0.25">
      <c r="A102" s="506"/>
      <c r="B102" s="359"/>
      <c r="C102" s="359"/>
      <c r="D102" s="359"/>
      <c r="E102" s="359"/>
      <c r="F102" s="359"/>
      <c r="G102" s="359"/>
      <c r="H102" s="25">
        <v>3121</v>
      </c>
      <c r="I102" s="15" t="s">
        <v>43</v>
      </c>
      <c r="J102" s="16">
        <v>13926</v>
      </c>
      <c r="K102" s="16">
        <v>25000</v>
      </c>
      <c r="L102" s="16">
        <v>25000</v>
      </c>
      <c r="M102" s="16">
        <f>Posebni!F17+Posebni!F541</f>
        <v>70000</v>
      </c>
      <c r="N102" s="16">
        <f>Posebni!G17+Posebni!G541</f>
        <v>9290.596589023824</v>
      </c>
      <c r="O102" s="16">
        <f>Posebni!H17+Posebni!H541+Posebni!H542</f>
        <v>20400</v>
      </c>
      <c r="P102" s="16">
        <f>Posebni!I17+Posebni!I541+Posebni!I542</f>
        <v>153703.80000000002</v>
      </c>
      <c r="Q102" s="16">
        <f>Posebni!J17+Posebni!J541+Posebni!J542</f>
        <v>21000</v>
      </c>
      <c r="R102" s="16">
        <f>Posebni!K17+Posebni!K541+Posebni!K542</f>
        <v>158224.5</v>
      </c>
      <c r="S102" s="16">
        <f>Posebni!L17+Posebni!L541+Posebni!L542</f>
        <v>21500</v>
      </c>
      <c r="T102" s="647">
        <f>S102*7.5345</f>
        <v>161991.75</v>
      </c>
      <c r="U102" s="48">
        <f t="shared" si="138"/>
        <v>102.94117647058823</v>
      </c>
      <c r="V102" s="700">
        <f t="shared" si="139"/>
        <v>102.38095238095238</v>
      </c>
    </row>
    <row r="103" spans="1:22" s="1" customFormat="1" hidden="1" x14ac:dyDescent="0.25">
      <c r="A103" s="506"/>
      <c r="B103" s="359"/>
      <c r="C103" s="359" t="s">
        <v>365</v>
      </c>
      <c r="D103" s="359"/>
      <c r="E103" s="359"/>
      <c r="F103" s="359"/>
      <c r="G103" s="359"/>
      <c r="H103" s="24">
        <v>313</v>
      </c>
      <c r="I103" s="8" t="s">
        <v>44</v>
      </c>
      <c r="J103" s="12">
        <f t="shared" ref="J103:P103" si="141">SUM(J104:J105)</f>
        <v>58156</v>
      </c>
      <c r="K103" s="12">
        <f t="shared" si="141"/>
        <v>88000</v>
      </c>
      <c r="L103" s="12">
        <f t="shared" si="141"/>
        <v>73000</v>
      </c>
      <c r="M103" s="12">
        <f t="shared" si="141"/>
        <v>153000</v>
      </c>
      <c r="N103" s="12">
        <f t="shared" si="141"/>
        <v>20306.589687437783</v>
      </c>
      <c r="O103" s="12">
        <f t="shared" si="141"/>
        <v>40800</v>
      </c>
      <c r="P103" s="626">
        <f t="shared" si="141"/>
        <v>307407.59999999998</v>
      </c>
      <c r="Q103" s="12">
        <f t="shared" ref="Q103:T103" si="142">SUM(Q104:Q105)</f>
        <v>41500</v>
      </c>
      <c r="R103" s="626">
        <f t="shared" ref="R103" si="143">SUM(R104:R105)</f>
        <v>312681.75</v>
      </c>
      <c r="S103" s="12">
        <f t="shared" si="142"/>
        <v>42000</v>
      </c>
      <c r="T103" s="626">
        <f t="shared" si="142"/>
        <v>316449</v>
      </c>
      <c r="U103" s="48">
        <f t="shared" si="138"/>
        <v>101.71568627450979</v>
      </c>
      <c r="V103" s="700">
        <f t="shared" si="139"/>
        <v>101.20481927710843</v>
      </c>
    </row>
    <row r="104" spans="1:22" hidden="1" x14ac:dyDescent="0.25">
      <c r="A104" s="506"/>
      <c r="B104" s="359"/>
      <c r="C104" s="359"/>
      <c r="D104" s="359"/>
      <c r="E104" s="359"/>
      <c r="F104" s="359"/>
      <c r="G104" s="359"/>
      <c r="H104" s="25">
        <v>3132</v>
      </c>
      <c r="I104" s="15" t="s">
        <v>45</v>
      </c>
      <c r="J104" s="16">
        <v>51652</v>
      </c>
      <c r="K104" s="16">
        <v>75000</v>
      </c>
      <c r="L104" s="16">
        <v>60000</v>
      </c>
      <c r="M104" s="16">
        <f>Posebni!F19+Posebni!F544+Posebni!F575</f>
        <v>153000</v>
      </c>
      <c r="N104" s="16">
        <f>Posebni!G19+Posebni!G544+Posebni!G575</f>
        <v>20306.589687437783</v>
      </c>
      <c r="O104" s="16">
        <f>Posebni!H19+Posebni!H544+Posebni!H545+Posebni!H575+Posebni!H576</f>
        <v>40800</v>
      </c>
      <c r="P104" s="16">
        <f>Posebni!I19+Posebni!I544+Posebni!I545+Posebni!I575+Posebni!I576</f>
        <v>307407.59999999998</v>
      </c>
      <c r="Q104" s="16">
        <f>Posebni!J19+Posebni!J544+Posebni!J545+Posebni!J575+Posebni!J576</f>
        <v>41500</v>
      </c>
      <c r="R104" s="16">
        <f>Posebni!K19+Posebni!K544+Posebni!K545+Posebni!K575+Posebni!K576</f>
        <v>312681.75</v>
      </c>
      <c r="S104" s="16">
        <f>Posebni!L19+Posebni!L544+Posebni!L545+Posebni!L575+Posebni!L576</f>
        <v>42000</v>
      </c>
      <c r="T104" s="647">
        <f>S104*7.5345</f>
        <v>316449</v>
      </c>
      <c r="U104" s="48">
        <f t="shared" si="138"/>
        <v>101.71568627450979</v>
      </c>
      <c r="V104" s="700">
        <f t="shared" si="139"/>
        <v>101.20481927710843</v>
      </c>
    </row>
    <row r="105" spans="1:22" hidden="1" x14ac:dyDescent="0.25">
      <c r="A105" s="506"/>
      <c r="B105" s="359"/>
      <c r="C105" s="359"/>
      <c r="D105" s="359"/>
      <c r="E105" s="359"/>
      <c r="F105" s="359"/>
      <c r="G105" s="359"/>
      <c r="H105" s="25">
        <v>3133</v>
      </c>
      <c r="I105" s="15" t="s">
        <v>46</v>
      </c>
      <c r="J105" s="16">
        <v>6504</v>
      </c>
      <c r="K105" s="16">
        <v>13000</v>
      </c>
      <c r="L105" s="16">
        <v>13000</v>
      </c>
      <c r="M105" s="16"/>
      <c r="N105" s="16"/>
      <c r="O105" s="16">
        <v>0</v>
      </c>
      <c r="P105" s="647"/>
      <c r="Q105" s="16">
        <v>0</v>
      </c>
      <c r="R105" s="647"/>
      <c r="S105" s="16">
        <v>0</v>
      </c>
      <c r="T105" s="647"/>
      <c r="U105" s="48">
        <f t="shared" ref="U105" si="144">K105/J105*100</f>
        <v>199.87699876998769</v>
      </c>
      <c r="V105" s="700" t="e">
        <f t="shared" si="139"/>
        <v>#DIV/0!</v>
      </c>
    </row>
    <row r="106" spans="1:22" s="85" customFormat="1" x14ac:dyDescent="0.25">
      <c r="A106" s="507"/>
      <c r="B106" s="369"/>
      <c r="C106" s="369"/>
      <c r="D106" s="369"/>
      <c r="E106" s="369"/>
      <c r="F106" s="369"/>
      <c r="G106" s="369"/>
      <c r="H106" s="86">
        <v>32</v>
      </c>
      <c r="I106" s="87" t="s">
        <v>47</v>
      </c>
      <c r="J106" s="88">
        <f t="shared" ref="J106:S106" si="145">SUM(J107+J112+J118+J127+J129)</f>
        <v>1518759</v>
      </c>
      <c r="K106" s="88">
        <f t="shared" si="145"/>
        <v>1445000</v>
      </c>
      <c r="L106" s="88">
        <f t="shared" si="145"/>
        <v>1675000</v>
      </c>
      <c r="M106" s="88" t="e">
        <f t="shared" si="145"/>
        <v>#REF!</v>
      </c>
      <c r="N106" s="88" t="e">
        <f t="shared" si="145"/>
        <v>#REF!</v>
      </c>
      <c r="O106" s="88">
        <f t="shared" si="145"/>
        <v>692450</v>
      </c>
      <c r="P106" s="88" t="e">
        <f t="shared" si="145"/>
        <v>#REF!</v>
      </c>
      <c r="Q106" s="88">
        <f t="shared" si="145"/>
        <v>608250</v>
      </c>
      <c r="R106" s="88" t="e">
        <f t="shared" si="145"/>
        <v>#REF!</v>
      </c>
      <c r="S106" s="88">
        <f t="shared" si="145"/>
        <v>554750</v>
      </c>
      <c r="T106" s="648">
        <f t="shared" ref="T106" si="146">SUM(T107+T112+T118+T127+T129)</f>
        <v>4179763.875</v>
      </c>
      <c r="U106" s="82">
        <f>Q106/O106*100</f>
        <v>87.840277276337645</v>
      </c>
      <c r="V106" s="699">
        <f>S106/Q106*100</f>
        <v>91.204274558158644</v>
      </c>
    </row>
    <row r="107" spans="1:22" s="1" customFormat="1" hidden="1" x14ac:dyDescent="0.25">
      <c r="A107" s="506"/>
      <c r="B107" s="359"/>
      <c r="C107" s="359"/>
      <c r="D107" s="359"/>
      <c r="E107" s="359"/>
      <c r="F107" s="359"/>
      <c r="G107" s="359"/>
      <c r="H107" s="24">
        <v>321</v>
      </c>
      <c r="I107" s="8" t="s">
        <v>48</v>
      </c>
      <c r="J107" s="12">
        <f>SUM(J108:J111)</f>
        <v>59873</v>
      </c>
      <c r="K107" s="12">
        <f>SUM(K108:K111)</f>
        <v>81000</v>
      </c>
      <c r="L107" s="12">
        <f>SUM(L108:L111)</f>
        <v>81000</v>
      </c>
      <c r="M107" s="12" t="e">
        <f t="shared" ref="M107:T107" si="147">M108+M109+M110+M111</f>
        <v>#REF!</v>
      </c>
      <c r="N107" s="12" t="e">
        <f t="shared" si="147"/>
        <v>#REF!</v>
      </c>
      <c r="O107" s="12">
        <f t="shared" si="147"/>
        <v>14000</v>
      </c>
      <c r="P107" s="12">
        <f t="shared" si="147"/>
        <v>105483</v>
      </c>
      <c r="Q107" s="12">
        <f t="shared" si="147"/>
        <v>15000</v>
      </c>
      <c r="R107" s="12">
        <f t="shared" si="147"/>
        <v>113017.5</v>
      </c>
      <c r="S107" s="12">
        <f t="shared" si="147"/>
        <v>15500</v>
      </c>
      <c r="T107" s="626">
        <f t="shared" si="147"/>
        <v>116784.75</v>
      </c>
      <c r="U107" s="48">
        <f t="shared" ref="U107:U135" si="148">Q107/O107*100</f>
        <v>107.14285714285714</v>
      </c>
      <c r="V107" s="700">
        <f t="shared" ref="V107:V135" si="149">S107/Q107*100</f>
        <v>103.33333333333334</v>
      </c>
    </row>
    <row r="108" spans="1:22" hidden="1" x14ac:dyDescent="0.25">
      <c r="A108" s="506"/>
      <c r="B108" s="359"/>
      <c r="C108" s="359"/>
      <c r="D108" s="359"/>
      <c r="E108" s="359"/>
      <c r="F108" s="359"/>
      <c r="G108" s="359"/>
      <c r="H108" s="25">
        <v>3211</v>
      </c>
      <c r="I108" s="15" t="s">
        <v>49</v>
      </c>
      <c r="J108" s="16">
        <v>23045</v>
      </c>
      <c r="K108" s="16">
        <v>30000</v>
      </c>
      <c r="L108" s="16">
        <v>30000</v>
      </c>
      <c r="M108" s="16">
        <f>Posebni!F22</f>
        <v>10000</v>
      </c>
      <c r="N108" s="16">
        <f>Posebni!G22</f>
        <v>1327.2280841462605</v>
      </c>
      <c r="O108" s="16">
        <f>Posebni!H22</f>
        <v>2000</v>
      </c>
      <c r="P108" s="16">
        <f>Posebni!I22</f>
        <v>15069</v>
      </c>
      <c r="Q108" s="16">
        <f>Posebni!J22</f>
        <v>2500</v>
      </c>
      <c r="R108" s="16">
        <f>Posebni!K22</f>
        <v>18836.25</v>
      </c>
      <c r="S108" s="16">
        <f>Posebni!L22</f>
        <v>2500</v>
      </c>
      <c r="T108" s="647">
        <f>S108*7.5345</f>
        <v>18836.25</v>
      </c>
      <c r="U108" s="48">
        <f t="shared" si="148"/>
        <v>125</v>
      </c>
      <c r="V108" s="700">
        <f t="shared" si="149"/>
        <v>100</v>
      </c>
    </row>
    <row r="109" spans="1:22" hidden="1" x14ac:dyDescent="0.25">
      <c r="A109" s="506"/>
      <c r="B109" s="359"/>
      <c r="C109" s="359"/>
      <c r="D109" s="359"/>
      <c r="E109" s="359"/>
      <c r="F109" s="359"/>
      <c r="G109" s="359"/>
      <c r="H109" s="25">
        <v>3212</v>
      </c>
      <c r="I109" s="47" t="s">
        <v>155</v>
      </c>
      <c r="J109" s="16">
        <v>22400</v>
      </c>
      <c r="K109" s="16">
        <v>26000</v>
      </c>
      <c r="L109" s="16">
        <v>26000</v>
      </c>
      <c r="M109" s="16">
        <f>Posebni!F23+Posebni!F579</f>
        <v>35000</v>
      </c>
      <c r="N109" s="16">
        <f>Posebni!G23+Posebni!G579</f>
        <v>4645.2982945119111</v>
      </c>
      <c r="O109" s="16">
        <f>Posebni!H23+Posebni!H579+Posebni!H580</f>
        <v>6000</v>
      </c>
      <c r="P109" s="16">
        <f>Posebni!I23+Posebni!I579+Posebni!I580</f>
        <v>45207</v>
      </c>
      <c r="Q109" s="16">
        <f>Posebni!J23+Posebni!J579+Posebni!J580</f>
        <v>6500</v>
      </c>
      <c r="R109" s="16">
        <f>Posebni!K23+Posebni!K579+Posebni!K580</f>
        <v>48974.25</v>
      </c>
      <c r="S109" s="16">
        <f>Posebni!L23+Posebni!L579+Posebni!L580</f>
        <v>7000</v>
      </c>
      <c r="T109" s="647">
        <f>S109*7.5345</f>
        <v>52741.5</v>
      </c>
      <c r="U109" s="48">
        <f t="shared" si="148"/>
        <v>108.33333333333333</v>
      </c>
      <c r="V109" s="700">
        <f t="shared" si="149"/>
        <v>107.69230769230769</v>
      </c>
    </row>
    <row r="110" spans="1:22" hidden="1" x14ac:dyDescent="0.25">
      <c r="A110" s="506"/>
      <c r="B110" s="359"/>
      <c r="C110" s="359"/>
      <c r="D110" s="359"/>
      <c r="E110" s="359"/>
      <c r="F110" s="359"/>
      <c r="G110" s="359"/>
      <c r="H110" s="25">
        <v>3213</v>
      </c>
      <c r="I110" s="15" t="s">
        <v>51</v>
      </c>
      <c r="J110" s="16">
        <v>3500</v>
      </c>
      <c r="K110" s="16">
        <v>10000</v>
      </c>
      <c r="L110" s="16">
        <v>10000</v>
      </c>
      <c r="M110" s="16" t="e">
        <f>Posebni!F24+Posebni!#REF!</f>
        <v>#REF!</v>
      </c>
      <c r="N110" s="16" t="e">
        <f>Posebni!G24+Posebni!#REF!</f>
        <v>#REF!</v>
      </c>
      <c r="O110" s="16">
        <f>Posebni!H24</f>
        <v>2000</v>
      </c>
      <c r="P110" s="16">
        <f>Posebni!I24</f>
        <v>15069</v>
      </c>
      <c r="Q110" s="16">
        <f>Posebni!J24</f>
        <v>2000</v>
      </c>
      <c r="R110" s="16">
        <f>Posebni!K24</f>
        <v>15069</v>
      </c>
      <c r="S110" s="16">
        <f>Posebni!L24</f>
        <v>2000</v>
      </c>
      <c r="T110" s="647">
        <f>S110*7.5345</f>
        <v>15069</v>
      </c>
      <c r="U110" s="48">
        <f t="shared" si="148"/>
        <v>100</v>
      </c>
      <c r="V110" s="700">
        <f t="shared" si="149"/>
        <v>100</v>
      </c>
    </row>
    <row r="111" spans="1:22" hidden="1" x14ac:dyDescent="0.25">
      <c r="A111" s="506"/>
      <c r="B111" s="359"/>
      <c r="C111" s="359"/>
      <c r="D111" s="359"/>
      <c r="E111" s="359"/>
      <c r="F111" s="359"/>
      <c r="G111" s="359"/>
      <c r="H111" s="25">
        <v>3214</v>
      </c>
      <c r="I111" s="15" t="s">
        <v>144</v>
      </c>
      <c r="J111" s="16">
        <v>10928</v>
      </c>
      <c r="K111" s="16">
        <v>15000</v>
      </c>
      <c r="L111" s="16">
        <v>15000</v>
      </c>
      <c r="M111" s="16">
        <f>Posebni!F25+Posebni!F548</f>
        <v>16000</v>
      </c>
      <c r="N111" s="16">
        <f>Posebni!G25+Posebni!G548</f>
        <v>2123.5649346340169</v>
      </c>
      <c r="O111" s="16">
        <f>Posebni!H25+Posebni!H548+Posebni!H549</f>
        <v>4000</v>
      </c>
      <c r="P111" s="16">
        <f>Posebni!I25+Posebni!I548+Posebni!I549</f>
        <v>30138.000000000004</v>
      </c>
      <c r="Q111" s="16">
        <f>Posebni!J25+Posebni!J548+Posebni!J549</f>
        <v>4000</v>
      </c>
      <c r="R111" s="16">
        <f>Posebni!K25+Posebni!K548+Posebni!K549</f>
        <v>30138.000000000004</v>
      </c>
      <c r="S111" s="16">
        <f>Posebni!L25+Posebni!L548+Posebni!L549</f>
        <v>4000</v>
      </c>
      <c r="T111" s="647">
        <f>S111*7.5345</f>
        <v>30138</v>
      </c>
      <c r="U111" s="48">
        <f t="shared" si="148"/>
        <v>100</v>
      </c>
      <c r="V111" s="700">
        <f t="shared" si="149"/>
        <v>100</v>
      </c>
    </row>
    <row r="112" spans="1:22" s="1" customFormat="1" hidden="1" x14ac:dyDescent="0.25">
      <c r="A112" s="506"/>
      <c r="B112" s="359"/>
      <c r="C112" s="359"/>
      <c r="D112" s="359"/>
      <c r="E112" s="359"/>
      <c r="F112" s="359"/>
      <c r="G112" s="359"/>
      <c r="H112" s="24">
        <v>322</v>
      </c>
      <c r="I112" s="8" t="s">
        <v>52</v>
      </c>
      <c r="J112" s="12">
        <f t="shared" ref="J112:S112" si="150">SUM(J113:J117)</f>
        <v>281981</v>
      </c>
      <c r="K112" s="12">
        <f t="shared" si="150"/>
        <v>293000</v>
      </c>
      <c r="L112" s="12">
        <f t="shared" si="150"/>
        <v>310000</v>
      </c>
      <c r="M112" s="12">
        <f t="shared" si="150"/>
        <v>414000</v>
      </c>
      <c r="N112" s="12">
        <f t="shared" si="150"/>
        <v>54947.242683655182</v>
      </c>
      <c r="O112" s="12">
        <f t="shared" si="150"/>
        <v>63750</v>
      </c>
      <c r="P112" s="12">
        <f t="shared" si="150"/>
        <v>433336.32500000001</v>
      </c>
      <c r="Q112" s="12">
        <f t="shared" si="150"/>
        <v>51250</v>
      </c>
      <c r="R112" s="12">
        <f t="shared" si="150"/>
        <v>342922.32500000001</v>
      </c>
      <c r="S112" s="12">
        <f t="shared" si="150"/>
        <v>53750</v>
      </c>
      <c r="T112" s="626">
        <f t="shared" ref="T112" si="151">SUM(T113:T117)</f>
        <v>404979.375</v>
      </c>
      <c r="U112" s="48">
        <f t="shared" si="148"/>
        <v>80.392156862745097</v>
      </c>
      <c r="V112" s="700">
        <f t="shared" si="149"/>
        <v>104.8780487804878</v>
      </c>
    </row>
    <row r="113" spans="1:22" hidden="1" x14ac:dyDescent="0.25">
      <c r="A113" s="506"/>
      <c r="B113" s="359"/>
      <c r="C113" s="359"/>
      <c r="D113" s="359"/>
      <c r="E113" s="359"/>
      <c r="F113" s="359"/>
      <c r="G113" s="359"/>
      <c r="H113" s="25">
        <v>3221</v>
      </c>
      <c r="I113" s="15" t="s">
        <v>53</v>
      </c>
      <c r="J113" s="16">
        <v>5612</v>
      </c>
      <c r="K113" s="16">
        <v>15000</v>
      </c>
      <c r="L113" s="16">
        <v>15000</v>
      </c>
      <c r="M113" s="16">
        <f>Posebni!F31+Posebni!F551</f>
        <v>27000</v>
      </c>
      <c r="N113" s="16">
        <f>Posebni!G31+Posebni!G551</f>
        <v>3583.5158271949035</v>
      </c>
      <c r="O113" s="16">
        <f>Posebni!H31+Posebni!H100+Posebni!H551+Posebni!H552</f>
        <v>10500</v>
      </c>
      <c r="P113" s="16">
        <f>Posebni!I31+Posebni!I100+Posebni!I551+Posebni!I552</f>
        <v>68563.950000000012</v>
      </c>
      <c r="Q113" s="16">
        <f>Posebni!J31+Posebni!J100+Posebni!J551+Posebni!J552</f>
        <v>10000</v>
      </c>
      <c r="R113" s="16">
        <f>Posebni!K31+Posebni!K100+Posebni!K551+Posebni!K552</f>
        <v>68563.950000000012</v>
      </c>
      <c r="S113" s="16">
        <f>Posebni!L31+Posebni!L100+Posebni!L551+Posebni!L552</f>
        <v>10000</v>
      </c>
      <c r="T113" s="647">
        <f>S113*7.5345</f>
        <v>75345</v>
      </c>
      <c r="U113" s="48">
        <f t="shared" si="148"/>
        <v>95.238095238095227</v>
      </c>
      <c r="V113" s="700">
        <f t="shared" si="149"/>
        <v>100</v>
      </c>
    </row>
    <row r="114" spans="1:22" hidden="1" x14ac:dyDescent="0.25">
      <c r="A114" s="506"/>
      <c r="B114" s="359"/>
      <c r="C114" s="359"/>
      <c r="D114" s="359"/>
      <c r="E114" s="359"/>
      <c r="F114" s="359"/>
      <c r="G114" s="359"/>
      <c r="H114" s="25">
        <v>3223</v>
      </c>
      <c r="I114" s="15" t="s">
        <v>54</v>
      </c>
      <c r="J114" s="16">
        <v>251496</v>
      </c>
      <c r="K114" s="16">
        <v>250000</v>
      </c>
      <c r="L114" s="16">
        <v>250000</v>
      </c>
      <c r="M114" s="16">
        <f>Posebni!F303+Posebni!F32</f>
        <v>190000</v>
      </c>
      <c r="N114" s="16">
        <f>Posebni!G303+Posebni!G32</f>
        <v>25217.333598778947</v>
      </c>
      <c r="O114" s="16">
        <f>Posebni!H303+Posebni!H32</f>
        <v>25500</v>
      </c>
      <c r="P114" s="16">
        <f>Posebni!I303+Posebni!I32</f>
        <v>192129.75</v>
      </c>
      <c r="Q114" s="16">
        <f>Posebni!J303+Posebni!J32</f>
        <v>28000</v>
      </c>
      <c r="R114" s="16">
        <f>Posebni!K303+Posebni!K32</f>
        <v>210966</v>
      </c>
      <c r="S114" s="16">
        <f>Posebni!L303+Posebni!L32</f>
        <v>29000</v>
      </c>
      <c r="T114" s="647">
        <f>S114*7.5345</f>
        <v>218500.5</v>
      </c>
      <c r="U114" s="48">
        <f t="shared" si="148"/>
        <v>109.80392156862746</v>
      </c>
      <c r="V114" s="700">
        <f t="shared" si="149"/>
        <v>103.57142857142858</v>
      </c>
    </row>
    <row r="115" spans="1:22" hidden="1" x14ac:dyDescent="0.25">
      <c r="A115" s="506"/>
      <c r="B115" s="359"/>
      <c r="C115" s="359"/>
      <c r="D115" s="359"/>
      <c r="E115" s="359"/>
      <c r="F115" s="359"/>
      <c r="G115" s="359"/>
      <c r="H115" s="25">
        <v>3224</v>
      </c>
      <c r="I115" s="15" t="s">
        <v>156</v>
      </c>
      <c r="J115" s="16">
        <v>21072</v>
      </c>
      <c r="K115" s="16">
        <v>20000</v>
      </c>
      <c r="L115" s="16">
        <v>30000</v>
      </c>
      <c r="M115" s="16">
        <f>Posebni!F33+Posebni!F437</f>
        <v>32000</v>
      </c>
      <c r="N115" s="16">
        <f>Posebni!G33+Posebni!G437</f>
        <v>4247.129869268033</v>
      </c>
      <c r="O115" s="16">
        <f>Posebni!H33+Posebni!H437</f>
        <v>2250</v>
      </c>
      <c r="P115" s="16">
        <f>Posebni!I33+Posebni!I437</f>
        <v>16952.625</v>
      </c>
      <c r="Q115" s="16">
        <f>Posebni!J33+Posebni!J437</f>
        <v>3250</v>
      </c>
      <c r="R115" s="16">
        <f>Posebni!K33+Posebni!K437</f>
        <v>24487.125</v>
      </c>
      <c r="S115" s="16">
        <f>Posebni!L33+Posebni!L437</f>
        <v>2250</v>
      </c>
      <c r="T115" s="647">
        <f>S115*7.5345</f>
        <v>16952.625</v>
      </c>
      <c r="U115" s="48">
        <f t="shared" si="148"/>
        <v>144.44444444444443</v>
      </c>
      <c r="V115" s="700">
        <f t="shared" si="149"/>
        <v>69.230769230769226</v>
      </c>
    </row>
    <row r="116" spans="1:22" hidden="1" x14ac:dyDescent="0.25">
      <c r="A116" s="506"/>
      <c r="B116" s="359"/>
      <c r="C116" s="359"/>
      <c r="D116" s="359"/>
      <c r="E116" s="359"/>
      <c r="F116" s="359"/>
      <c r="G116" s="359"/>
      <c r="H116" s="25">
        <v>3225</v>
      </c>
      <c r="I116" s="15" t="s">
        <v>55</v>
      </c>
      <c r="J116" s="16">
        <v>3801</v>
      </c>
      <c r="K116" s="16">
        <v>8000</v>
      </c>
      <c r="L116" s="16">
        <v>15000</v>
      </c>
      <c r="M116" s="16">
        <f>Posebni!F34+Posebni!F296+Posebni!F357</f>
        <v>145000</v>
      </c>
      <c r="N116" s="16">
        <f>Posebni!G34+Posebni!G296+Posebni!G357</f>
        <v>19244.807220120776</v>
      </c>
      <c r="O116" s="16">
        <f>Posebni!H34+Posebni!H296+Posebni!H357</f>
        <v>20000</v>
      </c>
      <c r="P116" s="16">
        <f>Posebni!I34+Posebni!I296+Posebni!I357</f>
        <v>118017.5</v>
      </c>
      <c r="Q116" s="16">
        <f>Posebni!J34+Posebni!J296+Posebni!J357</f>
        <v>7500</v>
      </c>
      <c r="R116" s="16">
        <f>Posebni!K34+Posebni!K296+Posebni!K357</f>
        <v>23836.25</v>
      </c>
      <c r="S116" s="16">
        <f>Posebni!L34+Posebni!L296+Posebni!L357</f>
        <v>8000</v>
      </c>
      <c r="T116" s="647">
        <f>S116*7.5345</f>
        <v>60276</v>
      </c>
      <c r="U116" s="48">
        <f t="shared" si="148"/>
        <v>37.5</v>
      </c>
      <c r="V116" s="700">
        <f t="shared" si="149"/>
        <v>106.66666666666667</v>
      </c>
    </row>
    <row r="117" spans="1:22" hidden="1" x14ac:dyDescent="0.25">
      <c r="A117" s="506"/>
      <c r="B117" s="359"/>
      <c r="C117" s="359"/>
      <c r="D117" s="359"/>
      <c r="E117" s="359"/>
      <c r="F117" s="359"/>
      <c r="G117" s="359"/>
      <c r="H117" s="25">
        <v>3227</v>
      </c>
      <c r="I117" s="15" t="s">
        <v>135</v>
      </c>
      <c r="J117" s="16">
        <v>0</v>
      </c>
      <c r="K117" s="16">
        <v>0</v>
      </c>
      <c r="L117" s="16">
        <v>0</v>
      </c>
      <c r="M117" s="16">
        <f>Posebni!F35+Posebni!F229</f>
        <v>20000</v>
      </c>
      <c r="N117" s="16">
        <f>Posebni!G35+Posebni!G229</f>
        <v>2654.4561682925209</v>
      </c>
      <c r="O117" s="16">
        <f>Posebni!H35+Posebni!H229</f>
        <v>5500</v>
      </c>
      <c r="P117" s="16">
        <f>Posebni!I35+Posebni!I229</f>
        <v>37672.5</v>
      </c>
      <c r="Q117" s="16">
        <f>Posebni!J35+Posebni!J229</f>
        <v>2500</v>
      </c>
      <c r="R117" s="16">
        <f>Posebni!K35+Posebni!K229</f>
        <v>15069</v>
      </c>
      <c r="S117" s="16">
        <f>Posebni!L35+Posebni!L229</f>
        <v>4500</v>
      </c>
      <c r="T117" s="647">
        <f>S117*7.5345</f>
        <v>33905.25</v>
      </c>
      <c r="U117" s="48">
        <f t="shared" si="148"/>
        <v>45.454545454545453</v>
      </c>
      <c r="V117" s="700">
        <f t="shared" si="149"/>
        <v>180</v>
      </c>
    </row>
    <row r="118" spans="1:22" s="1" customFormat="1" hidden="1" x14ac:dyDescent="0.25">
      <c r="A118" s="506"/>
      <c r="B118" s="359"/>
      <c r="C118" s="359" t="s">
        <v>365</v>
      </c>
      <c r="D118" s="359" t="s">
        <v>366</v>
      </c>
      <c r="E118" s="359"/>
      <c r="F118" s="359" t="s">
        <v>368</v>
      </c>
      <c r="G118" s="359"/>
      <c r="H118" s="24">
        <v>323</v>
      </c>
      <c r="I118" s="8" t="s">
        <v>56</v>
      </c>
      <c r="J118" s="12">
        <f t="shared" ref="J118:S118" si="152">SUM(J119:J126)</f>
        <v>913407</v>
      </c>
      <c r="K118" s="12">
        <f t="shared" si="152"/>
        <v>896000</v>
      </c>
      <c r="L118" s="12">
        <f t="shared" si="152"/>
        <v>1059000</v>
      </c>
      <c r="M118" s="12" t="e">
        <f t="shared" si="152"/>
        <v>#REF!</v>
      </c>
      <c r="N118" s="12" t="e">
        <f t="shared" si="152"/>
        <v>#REF!</v>
      </c>
      <c r="O118" s="12">
        <f t="shared" si="152"/>
        <v>519200</v>
      </c>
      <c r="P118" s="12" t="e">
        <f t="shared" si="152"/>
        <v>#REF!</v>
      </c>
      <c r="Q118" s="12">
        <f t="shared" si="152"/>
        <v>459500</v>
      </c>
      <c r="R118" s="12" t="e">
        <f t="shared" si="152"/>
        <v>#REF!</v>
      </c>
      <c r="S118" s="12">
        <f t="shared" si="152"/>
        <v>400500</v>
      </c>
      <c r="T118" s="626">
        <f t="shared" ref="T118" si="153">SUM(T119:T126)</f>
        <v>3017567.25</v>
      </c>
      <c r="U118" s="48">
        <f t="shared" si="148"/>
        <v>88.501540832049301</v>
      </c>
      <c r="V118" s="700">
        <f t="shared" si="149"/>
        <v>87.159956474428725</v>
      </c>
    </row>
    <row r="119" spans="1:22" hidden="1" x14ac:dyDescent="0.25">
      <c r="A119" s="506"/>
      <c r="B119" s="359"/>
      <c r="C119" s="359"/>
      <c r="D119" s="359"/>
      <c r="E119" s="359"/>
      <c r="F119" s="359"/>
      <c r="G119" s="359"/>
      <c r="H119" s="25">
        <v>3231</v>
      </c>
      <c r="I119" s="15" t="s">
        <v>57</v>
      </c>
      <c r="J119" s="16">
        <v>32822</v>
      </c>
      <c r="K119" s="16">
        <v>35000</v>
      </c>
      <c r="L119" s="16">
        <v>35000</v>
      </c>
      <c r="M119" s="16">
        <f>Posebni!F37</f>
        <v>45000</v>
      </c>
      <c r="N119" s="16">
        <f>Posebni!G37</f>
        <v>5972.5263786581718</v>
      </c>
      <c r="O119" s="16">
        <f>Posebni!H37</f>
        <v>6000</v>
      </c>
      <c r="P119" s="16">
        <f>Posebni!I37</f>
        <v>45207</v>
      </c>
      <c r="Q119" s="16">
        <f>Posebni!J37</f>
        <v>6500</v>
      </c>
      <c r="R119" s="16">
        <f>Posebni!K37</f>
        <v>48974.25</v>
      </c>
      <c r="S119" s="16">
        <f>Posebni!L37</f>
        <v>7000</v>
      </c>
      <c r="T119" s="647">
        <f t="shared" ref="T119:T126" si="154">S119*7.5345</f>
        <v>52741.5</v>
      </c>
      <c r="U119" s="48">
        <f t="shared" si="148"/>
        <v>108.33333333333333</v>
      </c>
      <c r="V119" s="700">
        <f t="shared" si="149"/>
        <v>107.69230769230769</v>
      </c>
    </row>
    <row r="120" spans="1:22" hidden="1" x14ac:dyDescent="0.25">
      <c r="A120" s="506"/>
      <c r="B120" s="359"/>
      <c r="C120" s="359"/>
      <c r="D120" s="359"/>
      <c r="E120" s="359"/>
      <c r="F120" s="359"/>
      <c r="G120" s="359"/>
      <c r="H120" s="25">
        <v>3232</v>
      </c>
      <c r="I120" s="15" t="s">
        <v>58</v>
      </c>
      <c r="J120" s="16">
        <v>498251</v>
      </c>
      <c r="K120" s="16">
        <v>500000</v>
      </c>
      <c r="L120" s="16">
        <v>600000</v>
      </c>
      <c r="M120" s="16" t="e">
        <f>Posebni!F38+Posebni!F305+Posebni!F312+Posebni!F321+Posebni!#REF!+Posebni!#REF!+Posebni!F327+Posebni!F333+Posebni!F339+Posebni!F345+Posebni!F351+Posebni!F367+Posebni!F439+Posebni!F470+Posebni!#REF!+Posebni!#REF!+Posebni!F483</f>
        <v>#REF!</v>
      </c>
      <c r="N120" s="16" t="e">
        <f>Posebni!G38+Posebni!G305+Posebni!G312+Posebni!G321+Posebni!#REF!+Posebni!#REF!+Posebni!G327+Posebni!G333+Posebni!G339+Posebni!G345+Posebni!G351+Posebni!G367+Posebni!G439+Posebni!G470+Posebni!#REF!+Posebni!#REF!+Posebni!G483</f>
        <v>#REF!</v>
      </c>
      <c r="O120" s="16">
        <f>Posebni!H38+Posebni!H305+Posebni!H312+Posebni!H321+Posebni!H327+Posebni!H333+Posebni!H339+Posebni!H345+Posebni!H351+Posebni!H376+Posebni!H382+Posebni!H384+Posebni!H439</f>
        <v>338700</v>
      </c>
      <c r="P120" s="16" t="e">
        <f>Posebni!I38+Posebni!I305+Posebni!I312+Posebni!I321+Posebni!#REF!+Posebni!#REF!+Posebni!I327+Posebni!I333+Posebni!I339+Posebni!I345+Posebni!I351+Posebni!I376+Posebni!I382+Posebni!I384+Posebni!I439</f>
        <v>#REF!</v>
      </c>
      <c r="Q120" s="16">
        <f>Posebni!J38+Posebni!J305+Posebni!J312+Posebni!J321+Posebni!J327+Posebni!J333+Posebni!J339+Posebni!J345+Posebni!J351+Posebni!J375+Posebni!J376+Posebni!J382+Posebni!J384+Posebni!J439</f>
        <v>289500</v>
      </c>
      <c r="R120" s="16" t="e">
        <f>Posebni!K38+Posebni!K305+Posebni!K312+Posebni!K321+Posebni!#REF!+Posebni!#REF!+Posebni!K327+Posebni!K333+Posebni!K339+Posebni!K345+Posebni!K351+Posebni!K375+Posebni!K376+Posebni!K382+Posebni!K384+Posebni!K439</f>
        <v>#REF!</v>
      </c>
      <c r="S120" s="16">
        <f>Posebni!L38+Posebni!L305+Posebni!L312+Posebni!L321+Posebni!L327+Posebni!L333+Posebni!L339+Posebni!L345+Posebni!L351+Posebni!L375+Posebni!L376+Posebni!L382+Posebni!L384+Posebni!L439</f>
        <v>229500</v>
      </c>
      <c r="T120" s="647">
        <f t="shared" si="154"/>
        <v>1729167.75</v>
      </c>
      <c r="U120" s="48">
        <f t="shared" si="148"/>
        <v>85.473870682019481</v>
      </c>
      <c r="V120" s="700">
        <f t="shared" si="149"/>
        <v>79.274611398963728</v>
      </c>
    </row>
    <row r="121" spans="1:22" hidden="1" x14ac:dyDescent="0.25">
      <c r="A121" s="506"/>
      <c r="B121" s="359"/>
      <c r="C121" s="359"/>
      <c r="D121" s="359"/>
      <c r="E121" s="359"/>
      <c r="F121" s="359"/>
      <c r="G121" s="359"/>
      <c r="H121" s="25">
        <v>3233</v>
      </c>
      <c r="I121" s="15" t="s">
        <v>59</v>
      </c>
      <c r="J121" s="16">
        <v>76081</v>
      </c>
      <c r="K121" s="16">
        <v>30000</v>
      </c>
      <c r="L121" s="16">
        <v>30000</v>
      </c>
      <c r="M121" s="16">
        <f>Posebni!F39+Posebni!F257+Posebni!F558</f>
        <v>36000</v>
      </c>
      <c r="N121" s="16">
        <f>Posebni!G39+Posebni!G257+Posebni!G558</f>
        <v>4778.0211029265383</v>
      </c>
      <c r="O121" s="16">
        <f>Posebni!H39+Posebni!H257+Posebni!H558+Posebni!H559</f>
        <v>23000</v>
      </c>
      <c r="P121" s="16">
        <f>Posebni!I39+Posebni!I257+Posebni!I558+Posebni!I559</f>
        <v>173293.5</v>
      </c>
      <c r="Q121" s="16">
        <f>Posebni!J39+Posebni!J257+Posebni!J558+Posebni!J559</f>
        <v>23500</v>
      </c>
      <c r="R121" s="16">
        <f>Posebni!K39+Posebni!K257+Posebni!K558+Posebni!K559</f>
        <v>177060.75</v>
      </c>
      <c r="S121" s="16">
        <f>Posebni!L39+Posebni!L257+Posebni!L558+Posebni!L559</f>
        <v>24000</v>
      </c>
      <c r="T121" s="647">
        <f t="shared" si="154"/>
        <v>180828</v>
      </c>
      <c r="U121" s="48">
        <f t="shared" si="148"/>
        <v>102.17391304347827</v>
      </c>
      <c r="V121" s="700">
        <f t="shared" si="149"/>
        <v>102.12765957446808</v>
      </c>
    </row>
    <row r="122" spans="1:22" hidden="1" x14ac:dyDescent="0.25">
      <c r="A122" s="506"/>
      <c r="B122" s="359"/>
      <c r="C122" s="359"/>
      <c r="D122" s="359"/>
      <c r="E122" s="359"/>
      <c r="F122" s="359"/>
      <c r="G122" s="359"/>
      <c r="H122" s="25">
        <v>3234</v>
      </c>
      <c r="I122" s="15" t="s">
        <v>60</v>
      </c>
      <c r="J122" s="16">
        <v>148075</v>
      </c>
      <c r="K122" s="16">
        <v>120000</v>
      </c>
      <c r="L122" s="16">
        <v>150000</v>
      </c>
      <c r="M122" s="16">
        <f>Posebni!F40+Posebni!F191+Posebni!F290+Posebni!F311</f>
        <v>305000</v>
      </c>
      <c r="N122" s="16">
        <f>Posebni!G40+Posebni!G191+Posebni!G290+Posebni!G311</f>
        <v>40480.456566460947</v>
      </c>
      <c r="O122" s="16">
        <f>Posebni!H40+Posebni!H191+Posebni!H290+Posebni!H311</f>
        <v>49000</v>
      </c>
      <c r="P122" s="16">
        <f>Posebni!I40+Posebni!I191+Posebni!I290+Posebni!I311</f>
        <v>369190.5</v>
      </c>
      <c r="Q122" s="16">
        <f>Posebni!J40+Posebni!J191+Posebni!J290+Posebni!J311</f>
        <v>53000</v>
      </c>
      <c r="R122" s="16">
        <f>Posebni!K40+Posebni!K191+Posebni!K290+Posebni!K311</f>
        <v>399328.5</v>
      </c>
      <c r="S122" s="16">
        <f>Posebni!L40+Posebni!L191+Posebni!L290+Posebni!L311</f>
        <v>53000</v>
      </c>
      <c r="T122" s="647">
        <f t="shared" si="154"/>
        <v>399328.5</v>
      </c>
      <c r="U122" s="48">
        <f t="shared" si="148"/>
        <v>108.16326530612245</v>
      </c>
      <c r="V122" s="700">
        <f t="shared" si="149"/>
        <v>100</v>
      </c>
    </row>
    <row r="123" spans="1:22" hidden="1" x14ac:dyDescent="0.25">
      <c r="A123" s="506"/>
      <c r="B123" s="359"/>
      <c r="C123" s="359"/>
      <c r="D123" s="359"/>
      <c r="E123" s="359"/>
      <c r="F123" s="359"/>
      <c r="G123" s="359"/>
      <c r="H123" s="25">
        <v>3236</v>
      </c>
      <c r="I123" s="15" t="s">
        <v>61</v>
      </c>
      <c r="J123" s="16">
        <v>0</v>
      </c>
      <c r="K123" s="16">
        <v>1000</v>
      </c>
      <c r="L123" s="16">
        <v>1000</v>
      </c>
      <c r="M123" s="16" t="e">
        <f>Posebni!F41+Posebni!F204+Posebni!#REF!</f>
        <v>#REF!</v>
      </c>
      <c r="N123" s="16" t="e">
        <f>Posebni!G41+Posebni!G204+Posebni!#REF!</f>
        <v>#REF!</v>
      </c>
      <c r="O123" s="16">
        <f>Posebni!H41+Posebni!H204</f>
        <v>5000</v>
      </c>
      <c r="P123" s="16" t="e">
        <f>Posebni!I41+Posebni!I204+Posebni!#REF!</f>
        <v>#REF!</v>
      </c>
      <c r="Q123" s="16">
        <f>Posebni!J41+Posebni!J204</f>
        <v>7000</v>
      </c>
      <c r="R123" s="16" t="e">
        <f>Posebni!K41+Posebni!K204+Posebni!#REF!</f>
        <v>#REF!</v>
      </c>
      <c r="S123" s="16">
        <f>Posebni!L41+Posebni!L204</f>
        <v>5000</v>
      </c>
      <c r="T123" s="647">
        <f t="shared" si="154"/>
        <v>37672.5</v>
      </c>
      <c r="U123" s="48">
        <f t="shared" si="148"/>
        <v>140</v>
      </c>
      <c r="V123" s="700">
        <f t="shared" si="149"/>
        <v>71.428571428571431</v>
      </c>
    </row>
    <row r="124" spans="1:22" hidden="1" x14ac:dyDescent="0.25">
      <c r="A124" s="506"/>
      <c r="B124" s="359"/>
      <c r="C124" s="359"/>
      <c r="D124" s="359"/>
      <c r="E124" s="359"/>
      <c r="F124" s="359"/>
      <c r="G124" s="359"/>
      <c r="H124" s="25">
        <v>3237</v>
      </c>
      <c r="I124" s="15" t="s">
        <v>62</v>
      </c>
      <c r="J124" s="16">
        <v>134917</v>
      </c>
      <c r="K124" s="16">
        <v>180000</v>
      </c>
      <c r="L124" s="16">
        <v>200000</v>
      </c>
      <c r="M124" s="16">
        <f>Posebni!F42+Posebni!F78+Posebni!F127+Posebni!F236+Posebni!F237</f>
        <v>295000</v>
      </c>
      <c r="N124" s="16">
        <f>Posebni!G42+Posebni!G78+Posebni!G127+Posebni!G236+Posebni!G237</f>
        <v>39153.228482314684</v>
      </c>
      <c r="O124" s="16">
        <f>Posebni!H42+Posebni!H78+Posebni!H127+Posebni!H235+Posebni!H369+Posebni!H560+Posebni!H561</f>
        <v>68000</v>
      </c>
      <c r="P124" s="16">
        <f>Posebni!I42+Posebni!I78+Posebni!I127+Posebni!I235+Posebni!I369+Posebni!I560+Posebni!I561</f>
        <v>308078.25</v>
      </c>
      <c r="Q124" s="16">
        <f>Posebni!J42+Posebni!J78+Posebni!J127+Posebni!J235+Posebni!J369+Posebni!J560+Posebni!J561</f>
        <v>53000</v>
      </c>
      <c r="R124" s="16">
        <f>Posebni!K42+Posebni!K78+Posebni!K127+Posebni!K235+Posebni!K369+Posebni!K560+Posebni!K561</f>
        <v>345750.75</v>
      </c>
      <c r="S124" s="16">
        <f>Posebni!L42+Posebni!L78+Posebni!L127+Posebni!L235+Posebni!L369+Posebni!L560+Posebni!L561</f>
        <v>53000</v>
      </c>
      <c r="T124" s="647">
        <f t="shared" si="154"/>
        <v>399328.5</v>
      </c>
      <c r="U124" s="48">
        <f t="shared" si="148"/>
        <v>77.941176470588232</v>
      </c>
      <c r="V124" s="700">
        <f t="shared" si="149"/>
        <v>100</v>
      </c>
    </row>
    <row r="125" spans="1:22" hidden="1" x14ac:dyDescent="0.25">
      <c r="A125" s="506"/>
      <c r="B125" s="359"/>
      <c r="C125" s="359"/>
      <c r="D125" s="359"/>
      <c r="E125" s="359"/>
      <c r="F125" s="359"/>
      <c r="G125" s="359"/>
      <c r="H125" s="25">
        <v>3238</v>
      </c>
      <c r="I125" s="15" t="s">
        <v>63</v>
      </c>
      <c r="J125" s="16">
        <v>3376</v>
      </c>
      <c r="K125" s="16">
        <v>5000</v>
      </c>
      <c r="L125" s="16">
        <v>13000</v>
      </c>
      <c r="M125" s="16">
        <f>Posebni!F43</f>
        <v>25000</v>
      </c>
      <c r="N125" s="16">
        <f>Posebni!G43</f>
        <v>3318.0702103656513</v>
      </c>
      <c r="O125" s="16">
        <f>Posebni!H43</f>
        <v>4000</v>
      </c>
      <c r="P125" s="16">
        <f>Posebni!I43</f>
        <v>30138</v>
      </c>
      <c r="Q125" s="16">
        <f>Posebni!J43</f>
        <v>4000</v>
      </c>
      <c r="R125" s="16">
        <f>Posebni!K43</f>
        <v>30138</v>
      </c>
      <c r="S125" s="16">
        <f>Posebni!L43</f>
        <v>4000</v>
      </c>
      <c r="T125" s="647">
        <f t="shared" si="154"/>
        <v>30138</v>
      </c>
      <c r="U125" s="48">
        <f t="shared" si="148"/>
        <v>100</v>
      </c>
      <c r="V125" s="700">
        <f t="shared" si="149"/>
        <v>100</v>
      </c>
    </row>
    <row r="126" spans="1:22" hidden="1" x14ac:dyDescent="0.25">
      <c r="A126" s="506"/>
      <c r="B126" s="359"/>
      <c r="C126" s="359"/>
      <c r="D126" s="359"/>
      <c r="E126" s="359"/>
      <c r="F126" s="359"/>
      <c r="G126" s="359"/>
      <c r="H126" s="25">
        <v>3239</v>
      </c>
      <c r="I126" s="15" t="s">
        <v>64</v>
      </c>
      <c r="J126" s="16">
        <v>19885</v>
      </c>
      <c r="K126" s="16">
        <v>25000</v>
      </c>
      <c r="L126" s="16">
        <v>30000</v>
      </c>
      <c r="M126" s="16" t="e">
        <f>Posebni!F44+Posebni!F102+Posebni!#REF!+Posebni!F258+Posebni!F359</f>
        <v>#REF!</v>
      </c>
      <c r="N126" s="16" t="e">
        <f>Posebni!G44+Posebni!G102+Posebni!#REF!+Posebni!G258+Posebni!G359</f>
        <v>#REF!</v>
      </c>
      <c r="O126" s="16">
        <f>Posebni!H44+Posebni!H102+Posebni!H258+Posebni!H359</f>
        <v>25500</v>
      </c>
      <c r="P126" s="16" t="e">
        <f>Posebni!I44+Posebni!I102+Posebni!#REF!+Posebni!I258+Posebni!I359</f>
        <v>#REF!</v>
      </c>
      <c r="Q126" s="16">
        <f>Posebni!J44+Posebni!J102+Posebni!J258+Posebni!J359</f>
        <v>23000</v>
      </c>
      <c r="R126" s="16" t="e">
        <f>Posebni!K44+Posebni!K102+Posebni!#REF!+Posebni!K258+Posebni!K359</f>
        <v>#REF!</v>
      </c>
      <c r="S126" s="16">
        <f>Posebni!L44+Posebni!L102+Posebni!L258+Posebni!L359</f>
        <v>25000</v>
      </c>
      <c r="T126" s="647">
        <f t="shared" si="154"/>
        <v>188362.5</v>
      </c>
      <c r="U126" s="48">
        <f t="shared" si="148"/>
        <v>90.196078431372555</v>
      </c>
      <c r="V126" s="700">
        <f t="shared" si="149"/>
        <v>108.69565217391303</v>
      </c>
    </row>
    <row r="127" spans="1:22" s="29" customFormat="1" hidden="1" x14ac:dyDescent="0.25">
      <c r="A127" s="506"/>
      <c r="B127" s="359"/>
      <c r="C127" s="359"/>
      <c r="D127" s="359"/>
      <c r="E127" s="359"/>
      <c r="F127" s="359"/>
      <c r="G127" s="359"/>
      <c r="H127" s="28">
        <v>324</v>
      </c>
      <c r="I127" s="349" t="s">
        <v>362</v>
      </c>
      <c r="J127" s="30">
        <f t="shared" ref="J127:T127" si="155">SUM(J128)</f>
        <v>0</v>
      </c>
      <c r="K127" s="30">
        <f t="shared" si="155"/>
        <v>1000</v>
      </c>
      <c r="L127" s="30">
        <f t="shared" si="155"/>
        <v>1000</v>
      </c>
      <c r="M127" s="30">
        <f t="shared" si="155"/>
        <v>35000</v>
      </c>
      <c r="N127" s="30">
        <f t="shared" si="155"/>
        <v>4645.298294511912</v>
      </c>
      <c r="O127" s="12">
        <f t="shared" si="155"/>
        <v>6500</v>
      </c>
      <c r="P127" s="626">
        <f t="shared" si="155"/>
        <v>48974.25</v>
      </c>
      <c r="Q127" s="12">
        <f t="shared" si="155"/>
        <v>7000</v>
      </c>
      <c r="R127" s="626">
        <f t="shared" si="155"/>
        <v>52741.5</v>
      </c>
      <c r="S127" s="12">
        <f t="shared" si="155"/>
        <v>7000</v>
      </c>
      <c r="T127" s="626">
        <f t="shared" si="155"/>
        <v>52741.5</v>
      </c>
      <c r="U127" s="48">
        <f t="shared" si="148"/>
        <v>107.69230769230769</v>
      </c>
      <c r="V127" s="700">
        <f t="shared" si="149"/>
        <v>100</v>
      </c>
    </row>
    <row r="128" spans="1:22" hidden="1" x14ac:dyDescent="0.25">
      <c r="A128" s="506"/>
      <c r="B128" s="359"/>
      <c r="C128" s="359"/>
      <c r="D128" s="359"/>
      <c r="E128" s="359"/>
      <c r="F128" s="359"/>
      <c r="G128" s="359"/>
      <c r="H128" s="27">
        <v>3241</v>
      </c>
      <c r="I128" s="10" t="s">
        <v>145</v>
      </c>
      <c r="J128" s="16">
        <v>0</v>
      </c>
      <c r="K128" s="16">
        <v>1000</v>
      </c>
      <c r="L128" s="16">
        <v>1000</v>
      </c>
      <c r="M128" s="16">
        <f>Posebni!F46</f>
        <v>35000</v>
      </c>
      <c r="N128" s="16">
        <f>Posebni!G46</f>
        <v>4645.298294511912</v>
      </c>
      <c r="O128" s="16">
        <f>Posebni!H46</f>
        <v>6500</v>
      </c>
      <c r="P128" s="647">
        <f>Posebni!I46</f>
        <v>48974.25</v>
      </c>
      <c r="Q128" s="16">
        <f>Posebni!J46</f>
        <v>7000</v>
      </c>
      <c r="R128" s="647">
        <f>Q128*7.5345</f>
        <v>52741.5</v>
      </c>
      <c r="S128" s="16">
        <f>Posebni!L46</f>
        <v>7000</v>
      </c>
      <c r="T128" s="647">
        <f>S128*7.5345</f>
        <v>52741.5</v>
      </c>
      <c r="U128" s="48">
        <f t="shared" si="148"/>
        <v>107.69230769230769</v>
      </c>
      <c r="V128" s="700">
        <f t="shared" si="149"/>
        <v>100</v>
      </c>
    </row>
    <row r="129" spans="1:22" s="1" customFormat="1" hidden="1" x14ac:dyDescent="0.25">
      <c r="A129" s="506"/>
      <c r="B129" s="359"/>
      <c r="C129" s="359"/>
      <c r="D129" s="359"/>
      <c r="E129" s="359"/>
      <c r="F129" s="359"/>
      <c r="G129" s="359"/>
      <c r="H129" s="24">
        <v>329</v>
      </c>
      <c r="I129" s="8" t="s">
        <v>65</v>
      </c>
      <c r="J129" s="12">
        <f t="shared" ref="J129:P129" si="156">SUM(J130:J135)</f>
        <v>263498</v>
      </c>
      <c r="K129" s="12">
        <f t="shared" si="156"/>
        <v>174000</v>
      </c>
      <c r="L129" s="12">
        <f t="shared" si="156"/>
        <v>224000</v>
      </c>
      <c r="M129" s="12">
        <f t="shared" si="156"/>
        <v>292000</v>
      </c>
      <c r="N129" s="12">
        <f t="shared" si="156"/>
        <v>38755.060057070805</v>
      </c>
      <c r="O129" s="12">
        <f t="shared" si="156"/>
        <v>89000</v>
      </c>
      <c r="P129" s="626">
        <f t="shared" si="156"/>
        <v>522534.9561682925</v>
      </c>
      <c r="Q129" s="12">
        <f t="shared" ref="Q129:T129" si="157">SUM(Q130:Q135)</f>
        <v>75500</v>
      </c>
      <c r="R129" s="626">
        <f t="shared" ref="R129" si="158">SUM(R130:R135)</f>
        <v>568854.75</v>
      </c>
      <c r="S129" s="12">
        <f t="shared" si="157"/>
        <v>78000</v>
      </c>
      <c r="T129" s="626">
        <f t="shared" si="157"/>
        <v>587691</v>
      </c>
      <c r="U129" s="48">
        <f t="shared" si="148"/>
        <v>84.831460674157299</v>
      </c>
      <c r="V129" s="700">
        <f t="shared" si="149"/>
        <v>103.31125827814569</v>
      </c>
    </row>
    <row r="130" spans="1:22" hidden="1" x14ac:dyDescent="0.25">
      <c r="A130" s="506"/>
      <c r="B130" s="359"/>
      <c r="C130" s="359"/>
      <c r="D130" s="359"/>
      <c r="E130" s="359"/>
      <c r="F130" s="359"/>
      <c r="G130" s="359"/>
      <c r="H130" s="25">
        <v>3291</v>
      </c>
      <c r="I130" s="47" t="s">
        <v>344</v>
      </c>
      <c r="J130" s="16">
        <v>139148</v>
      </c>
      <c r="K130" s="16">
        <v>50000</v>
      </c>
      <c r="L130" s="16">
        <v>100000</v>
      </c>
      <c r="M130" s="16">
        <f>Posebni!F91+Posebni!F104</f>
        <v>140000</v>
      </c>
      <c r="N130" s="16">
        <f>Posebni!G91+Posebni!G104</f>
        <v>18581.193178047648</v>
      </c>
      <c r="O130" s="16">
        <f>Posebni!H91+Posebni!H104</f>
        <v>55000</v>
      </c>
      <c r="P130" s="647">
        <f>Posebni!I91+Posebni!I104</f>
        <v>266361.9561682925</v>
      </c>
      <c r="Q130" s="16">
        <f>Posebni!J91+Posebni!J104</f>
        <v>40000</v>
      </c>
      <c r="R130" s="647">
        <f t="shared" ref="R130:R135" si="159">Q130*7.5345</f>
        <v>301380</v>
      </c>
      <c r="S130" s="16">
        <f>Posebni!L91+Posebni!L104</f>
        <v>40000</v>
      </c>
      <c r="T130" s="647">
        <f t="shared" ref="T130:T135" si="160">S130*7.5345</f>
        <v>301380</v>
      </c>
      <c r="U130" s="48">
        <f t="shared" si="148"/>
        <v>72.727272727272734</v>
      </c>
      <c r="V130" s="700">
        <f t="shared" si="149"/>
        <v>100</v>
      </c>
    </row>
    <row r="131" spans="1:22" hidden="1" x14ac:dyDescent="0.25">
      <c r="A131" s="506"/>
      <c r="B131" s="359"/>
      <c r="C131" s="359"/>
      <c r="D131" s="359"/>
      <c r="E131" s="359"/>
      <c r="F131" s="359"/>
      <c r="G131" s="359"/>
      <c r="H131" s="25">
        <v>3292</v>
      </c>
      <c r="I131" s="15" t="s">
        <v>67</v>
      </c>
      <c r="J131" s="16">
        <v>11718</v>
      </c>
      <c r="K131" s="16">
        <v>12000</v>
      </c>
      <c r="L131" s="16">
        <v>12000</v>
      </c>
      <c r="M131" s="16">
        <f>Posebni!F48</f>
        <v>15000</v>
      </c>
      <c r="N131" s="16">
        <f>Posebni!G48</f>
        <v>1990.8421262193906</v>
      </c>
      <c r="O131" s="16">
        <f>Posebni!H48</f>
        <v>4000</v>
      </c>
      <c r="P131" s="647">
        <f>Posebni!I48</f>
        <v>30138</v>
      </c>
      <c r="Q131" s="16">
        <f>Posebni!J48</f>
        <v>5000</v>
      </c>
      <c r="R131" s="647">
        <f t="shared" si="159"/>
        <v>37672.5</v>
      </c>
      <c r="S131" s="16">
        <f>Posebni!L48</f>
        <v>6000</v>
      </c>
      <c r="T131" s="647">
        <f t="shared" si="160"/>
        <v>45207</v>
      </c>
      <c r="U131" s="48">
        <f t="shared" si="148"/>
        <v>125</v>
      </c>
      <c r="V131" s="700">
        <f t="shared" si="149"/>
        <v>120</v>
      </c>
    </row>
    <row r="132" spans="1:22" hidden="1" x14ac:dyDescent="0.25">
      <c r="A132" s="506"/>
      <c r="B132" s="359"/>
      <c r="C132" s="359"/>
      <c r="D132" s="359"/>
      <c r="E132" s="359"/>
      <c r="F132" s="359"/>
      <c r="G132" s="359"/>
      <c r="H132" s="25">
        <v>3293</v>
      </c>
      <c r="I132" s="15" t="s">
        <v>68</v>
      </c>
      <c r="J132" s="16">
        <v>79821</v>
      </c>
      <c r="K132" s="16">
        <v>80000</v>
      </c>
      <c r="L132" s="16">
        <v>80000</v>
      </c>
      <c r="M132" s="16">
        <f>Posebni!F49+Posebni!F92+Posebni!F260+Posebni!F563</f>
        <v>45000</v>
      </c>
      <c r="N132" s="16">
        <f>Posebni!G49+Posebni!G92+Posebni!G260+Posebni!G563</f>
        <v>5972.5263786581718</v>
      </c>
      <c r="O132" s="16">
        <f>Posebni!H49+Posebni!H92+Posebni!H260+Posebni!H563</f>
        <v>16500</v>
      </c>
      <c r="P132" s="647">
        <f>Posebni!I49+Posebni!I92+Posebni!I260+Posebni!I563</f>
        <v>124319.25</v>
      </c>
      <c r="Q132" s="16">
        <f>Posebni!J49+Posebni!J92+Posebni!J260+Posebni!J563</f>
        <v>16000</v>
      </c>
      <c r="R132" s="647">
        <f t="shared" si="159"/>
        <v>120552</v>
      </c>
      <c r="S132" s="16">
        <f>Posebni!L49+Posebni!L92+Posebni!L260+Posebni!L563</f>
        <v>17500</v>
      </c>
      <c r="T132" s="647">
        <f t="shared" si="160"/>
        <v>131853.75</v>
      </c>
      <c r="U132" s="48">
        <f t="shared" si="148"/>
        <v>96.969696969696969</v>
      </c>
      <c r="V132" s="700">
        <f t="shared" si="149"/>
        <v>109.375</v>
      </c>
    </row>
    <row r="133" spans="1:22" hidden="1" x14ac:dyDescent="0.25">
      <c r="A133" s="506"/>
      <c r="B133" s="359"/>
      <c r="C133" s="359"/>
      <c r="D133" s="359"/>
      <c r="E133" s="359"/>
      <c r="F133" s="359"/>
      <c r="G133" s="359"/>
      <c r="H133" s="25">
        <v>3294</v>
      </c>
      <c r="I133" s="15" t="s">
        <v>69</v>
      </c>
      <c r="J133" s="16">
        <v>2859</v>
      </c>
      <c r="K133" s="16">
        <v>4000</v>
      </c>
      <c r="L133" s="16">
        <v>4000</v>
      </c>
      <c r="M133" s="16">
        <f>Posebni!F93</f>
        <v>30000</v>
      </c>
      <c r="N133" s="16">
        <f>Posebni!G93</f>
        <v>3981.6842524387812</v>
      </c>
      <c r="O133" s="16">
        <f>Posebni!H93</f>
        <v>4000</v>
      </c>
      <c r="P133" s="647">
        <f>Posebni!I93</f>
        <v>30138</v>
      </c>
      <c r="Q133" s="16">
        <f>Posebni!J93</f>
        <v>5000</v>
      </c>
      <c r="R133" s="647">
        <f t="shared" si="159"/>
        <v>37672.5</v>
      </c>
      <c r="S133" s="16">
        <f>Posebni!L93</f>
        <v>5000</v>
      </c>
      <c r="T133" s="647">
        <f t="shared" si="160"/>
        <v>37672.5</v>
      </c>
      <c r="U133" s="48">
        <f t="shared" si="148"/>
        <v>125</v>
      </c>
      <c r="V133" s="700">
        <f t="shared" si="149"/>
        <v>100</v>
      </c>
    </row>
    <row r="134" spans="1:22" hidden="1" x14ac:dyDescent="0.25">
      <c r="A134" s="506"/>
      <c r="B134" s="359"/>
      <c r="C134" s="359"/>
      <c r="D134" s="359"/>
      <c r="E134" s="359"/>
      <c r="F134" s="359"/>
      <c r="G134" s="359"/>
      <c r="H134" s="25">
        <v>3295</v>
      </c>
      <c r="I134" s="15" t="s">
        <v>131</v>
      </c>
      <c r="J134" s="16">
        <v>1243</v>
      </c>
      <c r="K134" s="16">
        <v>4000</v>
      </c>
      <c r="L134" s="16">
        <v>4000</v>
      </c>
      <c r="M134" s="16">
        <f>Posebni!F50</f>
        <v>50000</v>
      </c>
      <c r="N134" s="16">
        <f>Posebni!G50</f>
        <v>6636.1404207313026</v>
      </c>
      <c r="O134" s="16">
        <f>Posebni!H50</f>
        <v>7000</v>
      </c>
      <c r="P134" s="647">
        <f>Posebni!I50</f>
        <v>52741.5</v>
      </c>
      <c r="Q134" s="16">
        <f>Posebni!J50</f>
        <v>7000</v>
      </c>
      <c r="R134" s="647">
        <f t="shared" si="159"/>
        <v>52741.5</v>
      </c>
      <c r="S134" s="16">
        <f>Posebni!L50</f>
        <v>7000</v>
      </c>
      <c r="T134" s="647">
        <f t="shared" si="160"/>
        <v>52741.5</v>
      </c>
      <c r="U134" s="48">
        <f t="shared" si="148"/>
        <v>100</v>
      </c>
      <c r="V134" s="700">
        <f t="shared" si="149"/>
        <v>100</v>
      </c>
    </row>
    <row r="135" spans="1:22" hidden="1" x14ac:dyDescent="0.25">
      <c r="A135" s="508"/>
      <c r="B135" s="363"/>
      <c r="C135" s="363"/>
      <c r="D135" s="363"/>
      <c r="E135" s="363"/>
      <c r="F135" s="363"/>
      <c r="G135" s="363"/>
      <c r="H135" s="35">
        <v>3299</v>
      </c>
      <c r="I135" s="36" t="s">
        <v>65</v>
      </c>
      <c r="J135" s="17">
        <v>28709</v>
      </c>
      <c r="K135" s="17">
        <v>24000</v>
      </c>
      <c r="L135" s="17">
        <v>24000</v>
      </c>
      <c r="M135" s="17">
        <f>Posebni!F51+Posebni!F261</f>
        <v>12000</v>
      </c>
      <c r="N135" s="17">
        <f>Posebni!G51+Posebni!G261</f>
        <v>1592.6737009755125</v>
      </c>
      <c r="O135" s="17">
        <f>Posebni!H51+Posebni!H261</f>
        <v>2500</v>
      </c>
      <c r="P135" s="649">
        <f>Posebni!I51+Posebni!I261</f>
        <v>18836.25</v>
      </c>
      <c r="Q135" s="17">
        <f>Posebni!J51+Posebni!J261</f>
        <v>2500</v>
      </c>
      <c r="R135" s="647">
        <f t="shared" si="159"/>
        <v>18836.25</v>
      </c>
      <c r="S135" s="17">
        <f>Posebni!L51+Posebni!L261</f>
        <v>2500</v>
      </c>
      <c r="T135" s="647">
        <f t="shared" si="160"/>
        <v>18836.25</v>
      </c>
      <c r="U135" s="48">
        <f t="shared" si="148"/>
        <v>100</v>
      </c>
      <c r="V135" s="700">
        <f t="shared" si="149"/>
        <v>100</v>
      </c>
    </row>
    <row r="136" spans="1:22" s="85" customFormat="1" x14ac:dyDescent="0.25">
      <c r="A136" s="507"/>
      <c r="B136" s="369"/>
      <c r="C136" s="369"/>
      <c r="D136" s="369"/>
      <c r="E136" s="369"/>
      <c r="F136" s="369"/>
      <c r="G136" s="369"/>
      <c r="H136" s="86">
        <v>34</v>
      </c>
      <c r="I136" s="87" t="s">
        <v>70</v>
      </c>
      <c r="J136" s="88">
        <f t="shared" ref="J136:P136" si="161">SUM(J137+J139)</f>
        <v>64117</v>
      </c>
      <c r="K136" s="88">
        <f t="shared" si="161"/>
        <v>21000</v>
      </c>
      <c r="L136" s="88">
        <f t="shared" si="161"/>
        <v>56000</v>
      </c>
      <c r="M136" s="88">
        <f t="shared" si="161"/>
        <v>35000</v>
      </c>
      <c r="N136" s="88">
        <f t="shared" si="161"/>
        <v>4645.2982945119111</v>
      </c>
      <c r="O136" s="88">
        <f t="shared" si="161"/>
        <v>4600</v>
      </c>
      <c r="P136" s="648">
        <f t="shared" si="161"/>
        <v>34658.700000000004</v>
      </c>
      <c r="Q136" s="88">
        <f t="shared" ref="Q136:T136" si="162">SUM(Q137+Q139)</f>
        <v>5000</v>
      </c>
      <c r="R136" s="648">
        <f t="shared" ref="R136" si="163">SUM(R137+R139)</f>
        <v>37672.5</v>
      </c>
      <c r="S136" s="88">
        <f t="shared" si="162"/>
        <v>5500</v>
      </c>
      <c r="T136" s="648">
        <f t="shared" si="162"/>
        <v>41439.75</v>
      </c>
      <c r="U136" s="82">
        <f>Q136/O136*100</f>
        <v>108.69565217391303</v>
      </c>
      <c r="V136" s="699">
        <f>S136/Q136*100</f>
        <v>110.00000000000001</v>
      </c>
    </row>
    <row r="137" spans="1:22" s="1" customFormat="1" hidden="1" x14ac:dyDescent="0.25">
      <c r="A137" s="506"/>
      <c r="B137" s="359"/>
      <c r="C137" s="359"/>
      <c r="D137" s="359"/>
      <c r="E137" s="359"/>
      <c r="F137" s="359"/>
      <c r="G137" s="359"/>
      <c r="H137" s="24">
        <v>342</v>
      </c>
      <c r="I137" s="8" t="s">
        <v>147</v>
      </c>
      <c r="J137" s="12">
        <f t="shared" ref="J137:T137" si="164">SUM(J138)</f>
        <v>44812</v>
      </c>
      <c r="K137" s="12">
        <f t="shared" si="164"/>
        <v>5000</v>
      </c>
      <c r="L137" s="12">
        <f t="shared" si="164"/>
        <v>40000</v>
      </c>
      <c r="M137" s="12">
        <f t="shared" si="164"/>
        <v>0</v>
      </c>
      <c r="N137" s="12">
        <f t="shared" si="164"/>
        <v>0</v>
      </c>
      <c r="O137" s="12">
        <f t="shared" si="164"/>
        <v>0</v>
      </c>
      <c r="P137" s="626">
        <f t="shared" si="164"/>
        <v>0</v>
      </c>
      <c r="Q137" s="12">
        <f t="shared" si="164"/>
        <v>0</v>
      </c>
      <c r="R137" s="626">
        <f t="shared" si="164"/>
        <v>0</v>
      </c>
      <c r="S137" s="12">
        <f t="shared" si="164"/>
        <v>0</v>
      </c>
      <c r="T137" s="626">
        <f t="shared" si="164"/>
        <v>0</v>
      </c>
      <c r="U137" s="48">
        <v>0</v>
      </c>
      <c r="V137" s="700">
        <v>0</v>
      </c>
    </row>
    <row r="138" spans="1:22" s="2" customFormat="1" ht="21" hidden="1" x14ac:dyDescent="0.25">
      <c r="A138" s="506"/>
      <c r="B138" s="359"/>
      <c r="C138" s="359"/>
      <c r="D138" s="359"/>
      <c r="E138" s="359"/>
      <c r="F138" s="359"/>
      <c r="G138" s="359"/>
      <c r="H138" s="25">
        <v>3423</v>
      </c>
      <c r="I138" s="15" t="s">
        <v>148</v>
      </c>
      <c r="J138" s="16">
        <v>44812</v>
      </c>
      <c r="K138" s="16">
        <v>5000</v>
      </c>
      <c r="L138" s="16">
        <v>40000</v>
      </c>
      <c r="M138" s="16">
        <v>0</v>
      </c>
      <c r="N138" s="16">
        <v>0</v>
      </c>
      <c r="O138" s="16">
        <v>0</v>
      </c>
      <c r="P138" s="647">
        <v>0</v>
      </c>
      <c r="Q138" s="16">
        <v>0</v>
      </c>
      <c r="R138" s="647">
        <v>0</v>
      </c>
      <c r="S138" s="16">
        <v>0</v>
      </c>
      <c r="T138" s="647">
        <v>0</v>
      </c>
      <c r="U138" s="48">
        <v>0</v>
      </c>
      <c r="V138" s="700">
        <v>0</v>
      </c>
    </row>
    <row r="139" spans="1:22" s="1" customFormat="1" hidden="1" x14ac:dyDescent="0.25">
      <c r="A139" s="506"/>
      <c r="B139" s="359"/>
      <c r="C139" s="359"/>
      <c r="D139" s="359"/>
      <c r="E139" s="359"/>
      <c r="F139" s="359"/>
      <c r="G139" s="359"/>
      <c r="H139" s="24">
        <v>343</v>
      </c>
      <c r="I139" s="8" t="s">
        <v>71</v>
      </c>
      <c r="J139" s="12">
        <f t="shared" ref="J139:P139" si="165">SUM(J140:J142)</f>
        <v>19305</v>
      </c>
      <c r="K139" s="12">
        <f t="shared" si="165"/>
        <v>16000</v>
      </c>
      <c r="L139" s="12">
        <f t="shared" si="165"/>
        <v>16000</v>
      </c>
      <c r="M139" s="12">
        <f t="shared" si="165"/>
        <v>35000</v>
      </c>
      <c r="N139" s="12">
        <f t="shared" si="165"/>
        <v>4645.2982945119111</v>
      </c>
      <c r="O139" s="12">
        <f t="shared" si="165"/>
        <v>4600</v>
      </c>
      <c r="P139" s="626">
        <f t="shared" si="165"/>
        <v>34658.700000000004</v>
      </c>
      <c r="Q139" s="12">
        <f t="shared" ref="Q139:T139" si="166">SUM(Q140:Q142)</f>
        <v>5000</v>
      </c>
      <c r="R139" s="626">
        <f t="shared" ref="R139" si="167">SUM(R140:R142)</f>
        <v>37672.5</v>
      </c>
      <c r="S139" s="12">
        <f t="shared" si="166"/>
        <v>5500</v>
      </c>
      <c r="T139" s="626">
        <f t="shared" si="166"/>
        <v>41439.75</v>
      </c>
      <c r="U139" s="48">
        <f t="shared" ref="U139:U142" si="168">Q139/O139*100</f>
        <v>108.69565217391303</v>
      </c>
      <c r="V139" s="700">
        <f t="shared" ref="V139:V142" si="169">S139/Q139*100</f>
        <v>110.00000000000001</v>
      </c>
    </row>
    <row r="140" spans="1:22" hidden="1" x14ac:dyDescent="0.25">
      <c r="A140" s="506"/>
      <c r="B140" s="359"/>
      <c r="C140" s="359"/>
      <c r="D140" s="359"/>
      <c r="E140" s="359"/>
      <c r="F140" s="359"/>
      <c r="G140" s="359"/>
      <c r="H140" s="25">
        <v>3431</v>
      </c>
      <c r="I140" s="15" t="s">
        <v>149</v>
      </c>
      <c r="J140" s="16">
        <v>17392</v>
      </c>
      <c r="K140" s="16">
        <v>11000</v>
      </c>
      <c r="L140" s="16">
        <v>11000</v>
      </c>
      <c r="M140" s="16">
        <f>Posebni!F54</f>
        <v>20000</v>
      </c>
      <c r="N140" s="16">
        <f>Posebni!G54</f>
        <v>2654.4561682925209</v>
      </c>
      <c r="O140" s="16">
        <f>Posebni!H54</f>
        <v>2500</v>
      </c>
      <c r="P140" s="647">
        <f>Posebni!I54</f>
        <v>18836.25</v>
      </c>
      <c r="Q140" s="16">
        <f>Posebni!J54</f>
        <v>3000</v>
      </c>
      <c r="R140" s="647">
        <f>Q140*7.5345</f>
        <v>22603.5</v>
      </c>
      <c r="S140" s="16">
        <f>Posebni!L54</f>
        <v>3500</v>
      </c>
      <c r="T140" s="647">
        <f>S140*7.5345</f>
        <v>26370.75</v>
      </c>
      <c r="U140" s="48">
        <f t="shared" si="168"/>
        <v>120</v>
      </c>
      <c r="V140" s="700">
        <f t="shared" si="169"/>
        <v>116.66666666666667</v>
      </c>
    </row>
    <row r="141" spans="1:22" hidden="1" x14ac:dyDescent="0.25">
      <c r="A141" s="506"/>
      <c r="B141" s="359"/>
      <c r="C141" s="359"/>
      <c r="D141" s="359"/>
      <c r="E141" s="359"/>
      <c r="F141" s="359"/>
      <c r="G141" s="359"/>
      <c r="H141" s="25">
        <v>3433</v>
      </c>
      <c r="I141" s="15" t="s">
        <v>146</v>
      </c>
      <c r="J141" s="16">
        <v>3</v>
      </c>
      <c r="K141" s="16">
        <v>1000</v>
      </c>
      <c r="L141" s="16">
        <v>1000</v>
      </c>
      <c r="M141" s="16">
        <f>Posebni!F55</f>
        <v>10000</v>
      </c>
      <c r="N141" s="16">
        <f>Posebni!G55</f>
        <v>1327.2280841462605</v>
      </c>
      <c r="O141" s="16">
        <f>Posebni!H55</f>
        <v>1400</v>
      </c>
      <c r="P141" s="647">
        <f>Posebni!I55</f>
        <v>10548.300000000001</v>
      </c>
      <c r="Q141" s="16">
        <f>Posebni!J55</f>
        <v>1000</v>
      </c>
      <c r="R141" s="647">
        <f>Q141*7.5345</f>
        <v>7534.5</v>
      </c>
      <c r="S141" s="16">
        <f>Posebni!L55</f>
        <v>1000</v>
      </c>
      <c r="T141" s="647">
        <f>S141*7.5345</f>
        <v>7534.5</v>
      </c>
      <c r="U141" s="48">
        <f t="shared" si="168"/>
        <v>71.428571428571431</v>
      </c>
      <c r="V141" s="700">
        <f t="shared" si="169"/>
        <v>100</v>
      </c>
    </row>
    <row r="142" spans="1:22" hidden="1" x14ac:dyDescent="0.25">
      <c r="A142" s="506"/>
      <c r="B142" s="359"/>
      <c r="C142" s="359"/>
      <c r="D142" s="359"/>
      <c r="E142" s="359"/>
      <c r="F142" s="359"/>
      <c r="G142" s="359"/>
      <c r="H142" s="25">
        <v>3434</v>
      </c>
      <c r="I142" s="15" t="s">
        <v>74</v>
      </c>
      <c r="J142" s="16">
        <v>1910</v>
      </c>
      <c r="K142" s="16">
        <v>4000</v>
      </c>
      <c r="L142" s="16">
        <v>4000</v>
      </c>
      <c r="M142" s="16">
        <f>Posebni!F56</f>
        <v>5000</v>
      </c>
      <c r="N142" s="16">
        <f>Posebni!G56</f>
        <v>663.61404207313024</v>
      </c>
      <c r="O142" s="16">
        <f>Posebni!H56</f>
        <v>700</v>
      </c>
      <c r="P142" s="647">
        <f>Posebni!I56</f>
        <v>5274.1500000000005</v>
      </c>
      <c r="Q142" s="16">
        <f>Posebni!J56</f>
        <v>1000</v>
      </c>
      <c r="R142" s="647">
        <f>Q142*7.5345</f>
        <v>7534.5</v>
      </c>
      <c r="S142" s="16">
        <f>Posebni!L56</f>
        <v>1000</v>
      </c>
      <c r="T142" s="647">
        <f>S142*7.5345</f>
        <v>7534.5</v>
      </c>
      <c r="U142" s="48">
        <f t="shared" si="168"/>
        <v>142.85714285714286</v>
      </c>
      <c r="V142" s="700">
        <f t="shared" si="169"/>
        <v>100</v>
      </c>
    </row>
    <row r="143" spans="1:22" s="85" customFormat="1" x14ac:dyDescent="0.25">
      <c r="A143" s="507"/>
      <c r="B143" s="369"/>
      <c r="C143" s="369"/>
      <c r="D143" s="369"/>
      <c r="E143" s="369"/>
      <c r="F143" s="369"/>
      <c r="G143" s="369"/>
      <c r="H143" s="86">
        <v>35</v>
      </c>
      <c r="I143" s="87" t="s">
        <v>75</v>
      </c>
      <c r="J143" s="88">
        <f t="shared" ref="J143:T143" si="170">SUM(J144)</f>
        <v>0</v>
      </c>
      <c r="K143" s="88">
        <f t="shared" si="170"/>
        <v>0</v>
      </c>
      <c r="L143" s="88">
        <f t="shared" si="170"/>
        <v>0</v>
      </c>
      <c r="M143" s="88" t="e">
        <f t="shared" si="170"/>
        <v>#REF!</v>
      </c>
      <c r="N143" s="88" t="e">
        <f t="shared" si="170"/>
        <v>#REF!</v>
      </c>
      <c r="O143" s="88">
        <f t="shared" si="170"/>
        <v>30000</v>
      </c>
      <c r="P143" s="648">
        <f t="shared" si="170"/>
        <v>226035</v>
      </c>
      <c r="Q143" s="88">
        <f t="shared" si="170"/>
        <v>30000</v>
      </c>
      <c r="R143" s="648">
        <f t="shared" si="170"/>
        <v>226035</v>
      </c>
      <c r="S143" s="88">
        <f t="shared" si="170"/>
        <v>30000</v>
      </c>
      <c r="T143" s="648">
        <f t="shared" si="170"/>
        <v>226035</v>
      </c>
      <c r="U143" s="82">
        <f>Q143/O143*100</f>
        <v>100</v>
      </c>
      <c r="V143" s="699">
        <f>S143/Q143*100</f>
        <v>100</v>
      </c>
    </row>
    <row r="144" spans="1:22" s="1" customFormat="1" ht="21" hidden="1" x14ac:dyDescent="0.25">
      <c r="A144" s="506"/>
      <c r="B144" s="359"/>
      <c r="C144" s="359"/>
      <c r="D144" s="359"/>
      <c r="E144" s="359"/>
      <c r="F144" s="359"/>
      <c r="G144" s="359"/>
      <c r="H144" s="24">
        <v>352</v>
      </c>
      <c r="I144" s="8" t="s">
        <v>157</v>
      </c>
      <c r="J144" s="12">
        <f>SUM(J146)</f>
        <v>0</v>
      </c>
      <c r="K144" s="12">
        <f>SUM(K146)</f>
        <v>0</v>
      </c>
      <c r="L144" s="12">
        <f>SUM(L146)</f>
        <v>0</v>
      </c>
      <c r="M144" s="12" t="e">
        <f t="shared" ref="M144:T144" si="171">SUM(M145+M146)</f>
        <v>#REF!</v>
      </c>
      <c r="N144" s="12" t="e">
        <f t="shared" si="171"/>
        <v>#REF!</v>
      </c>
      <c r="O144" s="12">
        <f t="shared" si="171"/>
        <v>30000</v>
      </c>
      <c r="P144" s="626">
        <f t="shared" si="171"/>
        <v>226035</v>
      </c>
      <c r="Q144" s="12">
        <f t="shared" si="171"/>
        <v>30000</v>
      </c>
      <c r="R144" s="626">
        <f t="shared" si="171"/>
        <v>226035</v>
      </c>
      <c r="S144" s="12">
        <f t="shared" si="171"/>
        <v>30000</v>
      </c>
      <c r="T144" s="626">
        <f t="shared" si="171"/>
        <v>226035</v>
      </c>
      <c r="U144" s="48">
        <f t="shared" ref="U144:U146" si="172">Q144/O144*100</f>
        <v>100</v>
      </c>
      <c r="V144" s="700">
        <f t="shared" ref="V144:V146" si="173">S144/Q144*100</f>
        <v>100</v>
      </c>
    </row>
    <row r="145" spans="1:22" s="1" customFormat="1" ht="21" hidden="1" x14ac:dyDescent="0.25">
      <c r="A145" s="506"/>
      <c r="B145" s="359"/>
      <c r="C145" s="359"/>
      <c r="D145" s="359"/>
      <c r="E145" s="359"/>
      <c r="F145" s="359"/>
      <c r="G145" s="359"/>
      <c r="H145" s="27">
        <v>3522</v>
      </c>
      <c r="I145" s="10" t="s">
        <v>385</v>
      </c>
      <c r="J145" s="12"/>
      <c r="K145" s="12"/>
      <c r="L145" s="12"/>
      <c r="M145" s="11">
        <f>Posebni!F114</f>
        <v>100000</v>
      </c>
      <c r="N145" s="11">
        <f>Posebni!G114</f>
        <v>13272.280841462605</v>
      </c>
      <c r="O145" s="16">
        <f>Posebni!H114</f>
        <v>15000</v>
      </c>
      <c r="P145" s="647">
        <f>Posebni!I114</f>
        <v>113017.5</v>
      </c>
      <c r="Q145" s="16">
        <f>Posebni!J114</f>
        <v>15000</v>
      </c>
      <c r="R145" s="647">
        <f>Q145*7.5345</f>
        <v>113017.5</v>
      </c>
      <c r="S145" s="16">
        <f>Posebni!L114</f>
        <v>15000</v>
      </c>
      <c r="T145" s="647">
        <f>S145*7.5345</f>
        <v>113017.5</v>
      </c>
      <c r="U145" s="48">
        <f t="shared" si="172"/>
        <v>100</v>
      </c>
      <c r="V145" s="700">
        <f t="shared" si="173"/>
        <v>100</v>
      </c>
    </row>
    <row r="146" spans="1:22" ht="21" hidden="1" x14ac:dyDescent="0.25">
      <c r="A146" s="506"/>
      <c r="B146" s="359"/>
      <c r="C146" s="359"/>
      <c r="D146" s="359"/>
      <c r="E146" s="359"/>
      <c r="F146" s="359"/>
      <c r="G146" s="359"/>
      <c r="H146" s="25">
        <v>3523</v>
      </c>
      <c r="I146" s="15" t="s">
        <v>76</v>
      </c>
      <c r="J146" s="16">
        <v>0</v>
      </c>
      <c r="K146" s="16">
        <v>0</v>
      </c>
      <c r="L146" s="16">
        <v>0</v>
      </c>
      <c r="M146" s="16" t="e">
        <f>Posebni!F120+Posebni!#REF!</f>
        <v>#REF!</v>
      </c>
      <c r="N146" s="16" t="e">
        <f>Posebni!G120+Posebni!#REF!</f>
        <v>#REF!</v>
      </c>
      <c r="O146" s="16">
        <f>Posebni!H120</f>
        <v>15000</v>
      </c>
      <c r="P146" s="16">
        <f>Posebni!I120</f>
        <v>113017.5</v>
      </c>
      <c r="Q146" s="16">
        <f>Posebni!J120</f>
        <v>15000</v>
      </c>
      <c r="R146" s="16">
        <f>Posebni!K120</f>
        <v>113017.5</v>
      </c>
      <c r="S146" s="16">
        <f>Posebni!L120</f>
        <v>15000</v>
      </c>
      <c r="T146" s="647">
        <f>S146*7.5345</f>
        <v>113017.5</v>
      </c>
      <c r="U146" s="48">
        <f t="shared" si="172"/>
        <v>100</v>
      </c>
      <c r="V146" s="700">
        <f t="shared" si="173"/>
        <v>100</v>
      </c>
    </row>
    <row r="147" spans="1:22" s="85" customFormat="1" ht="21" hidden="1" x14ac:dyDescent="0.25">
      <c r="A147" s="507"/>
      <c r="B147" s="369"/>
      <c r="C147" s="369"/>
      <c r="D147" s="369"/>
      <c r="E147" s="369"/>
      <c r="F147" s="369"/>
      <c r="G147" s="369"/>
      <c r="H147" s="720">
        <v>36</v>
      </c>
      <c r="I147" s="87" t="s">
        <v>136</v>
      </c>
      <c r="J147" s="88">
        <f t="shared" ref="J147:T147" si="174">SUM(J148)</f>
        <v>0</v>
      </c>
      <c r="K147" s="88">
        <f t="shared" si="174"/>
        <v>15000</v>
      </c>
      <c r="L147" s="88">
        <f t="shared" si="174"/>
        <v>50000</v>
      </c>
      <c r="M147" s="88" t="e">
        <f t="shared" si="174"/>
        <v>#REF!</v>
      </c>
      <c r="N147" s="88" t="e">
        <f t="shared" si="174"/>
        <v>#REF!</v>
      </c>
      <c r="O147" s="88">
        <f t="shared" si="174"/>
        <v>0</v>
      </c>
      <c r="P147" s="648" t="e">
        <f t="shared" si="174"/>
        <v>#REF!</v>
      </c>
      <c r="Q147" s="88">
        <f t="shared" si="174"/>
        <v>0</v>
      </c>
      <c r="R147" s="648">
        <f t="shared" si="174"/>
        <v>0</v>
      </c>
      <c r="S147" s="88">
        <f t="shared" si="174"/>
        <v>0</v>
      </c>
      <c r="T147" s="648">
        <f t="shared" si="174"/>
        <v>0</v>
      </c>
      <c r="U147" s="82" t="e">
        <f>Q147/O147*100</f>
        <v>#DIV/0!</v>
      </c>
      <c r="V147" s="699" t="e">
        <f>S147/Q147*100</f>
        <v>#DIV/0!</v>
      </c>
    </row>
    <row r="148" spans="1:22" s="1" customFormat="1" hidden="1" x14ac:dyDescent="0.25">
      <c r="A148" s="506"/>
      <c r="B148" s="359"/>
      <c r="C148" s="359"/>
      <c r="D148" s="359" t="s">
        <v>366</v>
      </c>
      <c r="E148" s="359" t="s">
        <v>367</v>
      </c>
      <c r="F148" s="359"/>
      <c r="G148" s="359"/>
      <c r="H148" s="720">
        <v>363</v>
      </c>
      <c r="I148" s="8" t="s">
        <v>139</v>
      </c>
      <c r="J148" s="12">
        <f t="shared" ref="J148:P148" si="175">SUM(J149:J150)</f>
        <v>0</v>
      </c>
      <c r="K148" s="12">
        <f t="shared" si="175"/>
        <v>15000</v>
      </c>
      <c r="L148" s="12">
        <f t="shared" si="175"/>
        <v>50000</v>
      </c>
      <c r="M148" s="12" t="e">
        <f t="shared" si="175"/>
        <v>#REF!</v>
      </c>
      <c r="N148" s="12" t="e">
        <f t="shared" si="175"/>
        <v>#REF!</v>
      </c>
      <c r="O148" s="12">
        <f t="shared" si="175"/>
        <v>0</v>
      </c>
      <c r="P148" s="626" t="e">
        <f t="shared" si="175"/>
        <v>#REF!</v>
      </c>
      <c r="Q148" s="12">
        <f t="shared" ref="Q148:T148" si="176">SUM(Q149:Q150)</f>
        <v>0</v>
      </c>
      <c r="R148" s="626">
        <f t="shared" ref="R148" si="177">SUM(R149:R150)</f>
        <v>0</v>
      </c>
      <c r="S148" s="12">
        <f t="shared" si="176"/>
        <v>0</v>
      </c>
      <c r="T148" s="626">
        <f t="shared" si="176"/>
        <v>0</v>
      </c>
      <c r="U148" s="48" t="e">
        <f t="shared" ref="U148:U150" si="178">Q148/O148*100</f>
        <v>#DIV/0!</v>
      </c>
      <c r="V148" s="700" t="e">
        <f t="shared" ref="V148:V150" si="179">S148/Q148*100</f>
        <v>#DIV/0!</v>
      </c>
    </row>
    <row r="149" spans="1:22" hidden="1" x14ac:dyDescent="0.25">
      <c r="A149" s="506"/>
      <c r="B149" s="359"/>
      <c r="C149" s="359"/>
      <c r="D149" s="359"/>
      <c r="E149" s="359"/>
      <c r="F149" s="359"/>
      <c r="G149" s="359"/>
      <c r="H149" s="721">
        <v>3631</v>
      </c>
      <c r="I149" s="15" t="s">
        <v>138</v>
      </c>
      <c r="J149" s="16">
        <v>0</v>
      </c>
      <c r="K149" s="16">
        <v>5000</v>
      </c>
      <c r="L149" s="16">
        <v>40000</v>
      </c>
      <c r="M149" s="16" t="e">
        <f>Posebni!#REF!</f>
        <v>#REF!</v>
      </c>
      <c r="N149" s="16" t="e">
        <f>Posebni!#REF!</f>
        <v>#REF!</v>
      </c>
      <c r="O149" s="16">
        <v>0</v>
      </c>
      <c r="P149" s="647" t="e">
        <f>Posebni!#REF!</f>
        <v>#REF!</v>
      </c>
      <c r="Q149" s="16">
        <v>0</v>
      </c>
      <c r="R149" s="647">
        <f>Q149*7.5345</f>
        <v>0</v>
      </c>
      <c r="S149" s="16">
        <v>0</v>
      </c>
      <c r="T149" s="647">
        <f>S149*7.5345</f>
        <v>0</v>
      </c>
      <c r="U149" s="48">
        <v>0</v>
      </c>
      <c r="V149" s="700">
        <v>0</v>
      </c>
    </row>
    <row r="150" spans="1:22" hidden="1" x14ac:dyDescent="0.25">
      <c r="A150" s="506"/>
      <c r="B150" s="359"/>
      <c r="C150" s="359"/>
      <c r="D150" s="359"/>
      <c r="E150" s="359"/>
      <c r="F150" s="359"/>
      <c r="G150" s="359"/>
      <c r="H150" s="721">
        <v>3632</v>
      </c>
      <c r="I150" s="15" t="s">
        <v>137</v>
      </c>
      <c r="J150" s="16">
        <v>0</v>
      </c>
      <c r="K150" s="16">
        <v>10000</v>
      </c>
      <c r="L150" s="16">
        <v>10000</v>
      </c>
      <c r="M150" s="16" t="e">
        <f>Posebni!F198+Posebni!#REF!</f>
        <v>#REF!</v>
      </c>
      <c r="N150" s="16" t="e">
        <f>Posebni!G198+Posebni!#REF!</f>
        <v>#REF!</v>
      </c>
      <c r="O150" s="16">
        <v>0</v>
      </c>
      <c r="P150" s="647" t="e">
        <f>Posebni!I198+Posebni!#REF!</f>
        <v>#REF!</v>
      </c>
      <c r="Q150" s="16">
        <v>0</v>
      </c>
      <c r="R150" s="647">
        <f>Q150*7.5345</f>
        <v>0</v>
      </c>
      <c r="S150" s="16">
        <v>0</v>
      </c>
      <c r="T150" s="647">
        <f>S150*7.5345</f>
        <v>0</v>
      </c>
      <c r="U150" s="48" t="e">
        <f t="shared" si="178"/>
        <v>#DIV/0!</v>
      </c>
      <c r="V150" s="700" t="e">
        <f t="shared" si="179"/>
        <v>#DIV/0!</v>
      </c>
    </row>
    <row r="151" spans="1:22" s="85" customFormat="1" ht="21" x14ac:dyDescent="0.25">
      <c r="A151" s="507"/>
      <c r="B151" s="369"/>
      <c r="C151" s="369"/>
      <c r="D151" s="369"/>
      <c r="E151" s="369"/>
      <c r="F151" s="369"/>
      <c r="G151" s="369"/>
      <c r="H151" s="86">
        <v>37</v>
      </c>
      <c r="I151" s="87" t="s">
        <v>140</v>
      </c>
      <c r="J151" s="88">
        <f t="shared" ref="J151:T151" si="180">SUM(J152)</f>
        <v>422126</v>
      </c>
      <c r="K151" s="88">
        <f t="shared" si="180"/>
        <v>340000</v>
      </c>
      <c r="L151" s="88">
        <f t="shared" si="180"/>
        <v>453000</v>
      </c>
      <c r="M151" s="88" t="e">
        <f t="shared" si="180"/>
        <v>#REF!</v>
      </c>
      <c r="N151" s="88" t="e">
        <f t="shared" si="180"/>
        <v>#REF!</v>
      </c>
      <c r="O151" s="88">
        <f t="shared" si="180"/>
        <v>318500</v>
      </c>
      <c r="P151" s="648" t="e">
        <f t="shared" si="180"/>
        <v>#REF!</v>
      </c>
      <c r="Q151" s="88">
        <f t="shared" si="180"/>
        <v>345000</v>
      </c>
      <c r="R151" s="648">
        <f t="shared" si="180"/>
        <v>2599402.5</v>
      </c>
      <c r="S151" s="88">
        <f t="shared" si="180"/>
        <v>497001</v>
      </c>
      <c r="T151" s="648">
        <f t="shared" si="180"/>
        <v>3744654.0345000001</v>
      </c>
      <c r="U151" s="82">
        <f>Q151/O151*100</f>
        <v>108.32025117739403</v>
      </c>
      <c r="V151" s="699">
        <f>S151/Q151*100</f>
        <v>144.0582608695652</v>
      </c>
    </row>
    <row r="152" spans="1:22" s="1" customFormat="1" hidden="1" x14ac:dyDescent="0.25">
      <c r="A152" s="506"/>
      <c r="B152" s="359"/>
      <c r="C152" s="359"/>
      <c r="D152" s="359"/>
      <c r="E152" s="359"/>
      <c r="F152" s="359"/>
      <c r="G152" s="359"/>
      <c r="H152" s="24">
        <v>372</v>
      </c>
      <c r="I152" s="8" t="s">
        <v>158</v>
      </c>
      <c r="J152" s="12">
        <f t="shared" ref="J152:P152" si="181">SUM(J153:J154)</f>
        <v>422126</v>
      </c>
      <c r="K152" s="12">
        <f t="shared" si="181"/>
        <v>340000</v>
      </c>
      <c r="L152" s="12">
        <f t="shared" si="181"/>
        <v>453000</v>
      </c>
      <c r="M152" s="12" t="e">
        <f t="shared" si="181"/>
        <v>#REF!</v>
      </c>
      <c r="N152" s="12" t="e">
        <f t="shared" si="181"/>
        <v>#REF!</v>
      </c>
      <c r="O152" s="12">
        <f t="shared" si="181"/>
        <v>318500</v>
      </c>
      <c r="P152" s="626" t="e">
        <f t="shared" si="181"/>
        <v>#REF!</v>
      </c>
      <c r="Q152" s="12">
        <f t="shared" ref="Q152:T152" si="182">SUM(Q153:Q154)</f>
        <v>345000</v>
      </c>
      <c r="R152" s="626">
        <f t="shared" ref="R152" si="183">SUM(R153:R154)</f>
        <v>2599402.5</v>
      </c>
      <c r="S152" s="12">
        <f t="shared" si="182"/>
        <v>497001</v>
      </c>
      <c r="T152" s="626">
        <f t="shared" si="182"/>
        <v>3744654.0345000001</v>
      </c>
      <c r="U152" s="48">
        <f t="shared" ref="U152:U154" si="184">Q152/O152*100</f>
        <v>108.32025117739403</v>
      </c>
      <c r="V152" s="700">
        <f t="shared" ref="V152:V154" si="185">S152/Q152*100</f>
        <v>144.0582608695652</v>
      </c>
    </row>
    <row r="153" spans="1:22" hidden="1" x14ac:dyDescent="0.25">
      <c r="A153" s="506"/>
      <c r="B153" s="359"/>
      <c r="C153" s="359"/>
      <c r="D153" s="359"/>
      <c r="E153" s="359"/>
      <c r="F153" s="359"/>
      <c r="G153" s="359"/>
      <c r="H153" s="25">
        <v>3721</v>
      </c>
      <c r="I153" s="15" t="s">
        <v>78</v>
      </c>
      <c r="J153" s="16">
        <v>347075</v>
      </c>
      <c r="K153" s="16">
        <v>320000</v>
      </c>
      <c r="L153" s="16">
        <v>450000</v>
      </c>
      <c r="M153" s="16" t="e">
        <f>Posebni!F157+Posebni!F165+Posebni!F158+Posebni!F166+Posebni!F167+Posebni!#REF!</f>
        <v>#REF!</v>
      </c>
      <c r="N153" s="16" t="e">
        <f>Posebni!G157+Posebni!G165+Posebni!G158+Posebni!G166+Posebni!G167+Posebni!#REF!</f>
        <v>#REF!</v>
      </c>
      <c r="O153" s="16">
        <f>Posebni!H157+Posebni!H165+Posebni!H158+Posebni!H166+Posebni!H167</f>
        <v>85000</v>
      </c>
      <c r="P153" s="647" t="e">
        <f>Posebni!I157+Posebni!I165+Posebni!I158+Posebni!I166+Posebni!I167+Posebni!#REF!</f>
        <v>#REF!</v>
      </c>
      <c r="Q153" s="16">
        <f>Posebni!J157+Posebni!J165+Posebni!J158+Posebni!J166+Posebni!J167</f>
        <v>95000</v>
      </c>
      <c r="R153" s="647">
        <f>Q153*7.5345</f>
        <v>715777.5</v>
      </c>
      <c r="S153" s="16">
        <f>Posebni!L157+Posebni!L165+Posebni!L158+Posebni!L166+Posebni!L167</f>
        <v>235001</v>
      </c>
      <c r="T153" s="647">
        <f>S153*7.5345</f>
        <v>1770615.0345000001</v>
      </c>
      <c r="U153" s="48">
        <f t="shared" si="184"/>
        <v>111.76470588235294</v>
      </c>
      <c r="V153" s="700">
        <f t="shared" si="185"/>
        <v>247.3694736842105</v>
      </c>
    </row>
    <row r="154" spans="1:22" hidden="1" x14ac:dyDescent="0.25">
      <c r="A154" s="506"/>
      <c r="B154" s="359"/>
      <c r="C154" s="359"/>
      <c r="D154" s="359"/>
      <c r="E154" s="359"/>
      <c r="F154" s="359"/>
      <c r="G154" s="359"/>
      <c r="H154" s="25">
        <v>3722</v>
      </c>
      <c r="I154" s="15" t="s">
        <v>79</v>
      </c>
      <c r="J154" s="16">
        <v>75051</v>
      </c>
      <c r="K154" s="16">
        <v>20000</v>
      </c>
      <c r="L154" s="16">
        <v>3000</v>
      </c>
      <c r="M154" s="16" t="e">
        <f>Posebni!F168+Posebni!#REF!+Posebni!F169+Posebni!F170+Posebni!F171+Posebni!F172+Posebni!F184</f>
        <v>#REF!</v>
      </c>
      <c r="N154" s="16" t="e">
        <f>Posebni!G168+Posebni!#REF!+Posebni!G169+Posebni!G170+Posebni!G171+Posebni!G172+Posebni!G184</f>
        <v>#REF!</v>
      </c>
      <c r="O154" s="16">
        <f>Posebni!H159+Posebni!H168+Posebni!H169+Posebni!H170+Posebni!H171+Posebni!H172+Posebni!H184</f>
        <v>233500</v>
      </c>
      <c r="P154" s="647" t="e">
        <f>Posebni!I168+Posebni!#REF!+Posebni!I169+Posebni!I170+Posebni!I171+Posebni!I172+Posebni!I184</f>
        <v>#REF!</v>
      </c>
      <c r="Q154" s="16">
        <f>Posebni!J159+Posebni!J168+Posebni!J169+Posebni!J170+Posebni!J171+Posebni!J172+Posebni!J184</f>
        <v>250000</v>
      </c>
      <c r="R154" s="647">
        <f>Q154*7.5345</f>
        <v>1883625</v>
      </c>
      <c r="S154" s="16">
        <f>Posebni!L159+Posebni!L168+Posebni!L169+Posebni!L170+Posebni!L171+Posebni!L172+Posebni!L184</f>
        <v>262000</v>
      </c>
      <c r="T154" s="647">
        <f>S154*7.5345</f>
        <v>1974039</v>
      </c>
      <c r="U154" s="48">
        <f t="shared" si="184"/>
        <v>107.06638115631692</v>
      </c>
      <c r="V154" s="700">
        <f t="shared" si="185"/>
        <v>104.80000000000001</v>
      </c>
    </row>
    <row r="155" spans="1:22" s="85" customFormat="1" x14ac:dyDescent="0.25">
      <c r="A155" s="507"/>
      <c r="B155" s="369"/>
      <c r="C155" s="369"/>
      <c r="D155" s="369"/>
      <c r="E155" s="369"/>
      <c r="F155" s="369"/>
      <c r="G155" s="369"/>
      <c r="H155" s="86">
        <v>38</v>
      </c>
      <c r="I155" s="87" t="s">
        <v>128</v>
      </c>
      <c r="J155" s="88" t="e">
        <f t="shared" ref="J155:P155" si="186">SUM(J156+J159+J161+J163+J166+J168)</f>
        <v>#REF!</v>
      </c>
      <c r="K155" s="88" t="e">
        <f t="shared" si="186"/>
        <v>#REF!</v>
      </c>
      <c r="L155" s="88" t="e">
        <f t="shared" si="186"/>
        <v>#REF!</v>
      </c>
      <c r="M155" s="88">
        <f t="shared" si="186"/>
        <v>1138000</v>
      </c>
      <c r="N155" s="88">
        <f t="shared" si="186"/>
        <v>151038.55597584444</v>
      </c>
      <c r="O155" s="88">
        <f t="shared" si="186"/>
        <v>215200</v>
      </c>
      <c r="P155" s="648">
        <f t="shared" si="186"/>
        <v>1460759.8780841464</v>
      </c>
      <c r="Q155" s="88">
        <f t="shared" ref="Q155:T155" si="187">SUM(Q156+Q159+Q161+Q163+Q166+Q168)</f>
        <v>270500</v>
      </c>
      <c r="R155" s="648">
        <f t="shared" ref="R155" si="188">SUM(R156+R159+R161+R163+R166+R168)</f>
        <v>2038082.25</v>
      </c>
      <c r="S155" s="88">
        <f t="shared" si="187"/>
        <v>242500</v>
      </c>
      <c r="T155" s="648">
        <f t="shared" si="187"/>
        <v>1827116.25</v>
      </c>
      <c r="U155" s="82">
        <f>Q155/O155*100</f>
        <v>125.69702602230484</v>
      </c>
      <c r="V155" s="699">
        <f>S155/Q155*100</f>
        <v>89.648798521256936</v>
      </c>
    </row>
    <row r="156" spans="1:22" s="1" customFormat="1" hidden="1" x14ac:dyDescent="0.25">
      <c r="A156" s="506"/>
      <c r="B156" s="359"/>
      <c r="C156" s="359"/>
      <c r="D156" s="359"/>
      <c r="E156" s="359"/>
      <c r="F156" s="359"/>
      <c r="G156" s="359"/>
      <c r="H156" s="24">
        <v>381</v>
      </c>
      <c r="I156" s="8" t="s">
        <v>37</v>
      </c>
      <c r="J156" s="12" t="e">
        <f t="shared" ref="J156:P156" si="189">SUM(J157+J158)</f>
        <v>#REF!</v>
      </c>
      <c r="K156" s="12" t="e">
        <f t="shared" si="189"/>
        <v>#REF!</v>
      </c>
      <c r="L156" s="12" t="e">
        <f t="shared" si="189"/>
        <v>#REF!</v>
      </c>
      <c r="M156" s="12">
        <f t="shared" si="189"/>
        <v>893000</v>
      </c>
      <c r="N156" s="12">
        <f t="shared" si="189"/>
        <v>118521.46791426107</v>
      </c>
      <c r="O156" s="12">
        <f t="shared" si="189"/>
        <v>162200</v>
      </c>
      <c r="P156" s="626">
        <f t="shared" si="189"/>
        <v>1061431.3780841464</v>
      </c>
      <c r="Q156" s="12">
        <f t="shared" ref="Q156:T156" si="190">SUM(Q157+Q158)</f>
        <v>163500</v>
      </c>
      <c r="R156" s="626">
        <f t="shared" ref="R156" si="191">SUM(R157+R158)</f>
        <v>1231890.75</v>
      </c>
      <c r="S156" s="12">
        <f t="shared" si="190"/>
        <v>164500</v>
      </c>
      <c r="T156" s="626">
        <f t="shared" si="190"/>
        <v>1239425.25</v>
      </c>
      <c r="U156" s="48">
        <f t="shared" ref="U156:U169" si="192">Q156/O156*100</f>
        <v>100.80147965474721</v>
      </c>
      <c r="V156" s="700">
        <f t="shared" ref="V156:V169" si="193">S156/Q156*100</f>
        <v>100.61162079510704</v>
      </c>
    </row>
    <row r="157" spans="1:22" s="42" customFormat="1" hidden="1" x14ac:dyDescent="0.25">
      <c r="A157" s="506"/>
      <c r="B157" s="359"/>
      <c r="C157" s="359"/>
      <c r="D157" s="359"/>
      <c r="E157" s="359"/>
      <c r="F157" s="359"/>
      <c r="G157" s="359"/>
      <c r="H157" s="27">
        <v>3811</v>
      </c>
      <c r="I157" s="10" t="s">
        <v>81</v>
      </c>
      <c r="J157" s="11" t="e">
        <f>SUM(#REF!)</f>
        <v>#REF!</v>
      </c>
      <c r="K157" s="11" t="e">
        <f>SUM(#REF!)</f>
        <v>#REF!</v>
      </c>
      <c r="L157" s="11" t="e">
        <f>SUM(#REF!)</f>
        <v>#REF!</v>
      </c>
      <c r="M157" s="11">
        <f>Posebni!F107+Posebni!F134+Posebni!F142+Posebni!F178+Posebni!F211+Posebni!F223+Posebni!F244+Posebni!F251+Posebni!F268+Posebni!F277+Posebni!F283</f>
        <v>868000</v>
      </c>
      <c r="N157" s="11">
        <f>Posebni!G107+Posebni!G134+Posebni!G142+Posebni!G178+Posebni!G211+Posebni!G223+Posebni!G244+Posebni!G251+Posebni!G268+Posebni!G277+Posebni!G283</f>
        <v>115203.39770389542</v>
      </c>
      <c r="O157" s="16">
        <f>Posebni!H105+Posebni!H134+Posebni!H142+Posebni!H149+Posebni!H178+Posebni!H210+Posebni!H223+Posebni!H244+Posebni!H251+Posebni!H268+Posebni!H277+Posebni!H283+Posebni!H198</f>
        <v>158700</v>
      </c>
      <c r="P157" s="647">
        <f>Posebni!I107+Posebni!I134+Posebni!I142+Posebni!I178+Posebni!I211+Posebni!I223+Posebni!I244+Posebni!I251+Posebni!I268+Posebni!I277+Posebni!I283</f>
        <v>1035060.6280841463</v>
      </c>
      <c r="Q157" s="16">
        <f>Posebni!J134+Posebni!J142+Posebni!J149+Posebni!J178+Posebni!J210+Posebni!J223+Posebni!J244+Posebni!J251+Posebni!J268+Posebni!J277+Posebni!J283+Posebni!J198</f>
        <v>158500</v>
      </c>
      <c r="R157" s="16">
        <f>Posebni!K134+Posebni!K142+Posebni!K149+Posebni!K178+Posebni!K210+Posebni!K223+Posebni!K244+Posebni!K251+Posebni!K268+Posebni!K277+Posebni!K283+Posebni!K198</f>
        <v>1194218.25</v>
      </c>
      <c r="S157" s="16">
        <f>Posebni!L134+Posebni!L142+Posebni!L149+Posebni!L178+Posebni!L210+Posebni!L223+Posebni!L244+Posebni!L251+Posebni!L268+Posebni!L277+Posebni!L283+Posebni!L198</f>
        <v>159500</v>
      </c>
      <c r="T157" s="647">
        <f>S157*7.5345</f>
        <v>1201752.75</v>
      </c>
      <c r="U157" s="48">
        <f t="shared" si="192"/>
        <v>99.873976055450527</v>
      </c>
      <c r="V157" s="700">
        <f t="shared" si="193"/>
        <v>100.63091482649841</v>
      </c>
    </row>
    <row r="158" spans="1:22" s="42" customFormat="1" hidden="1" x14ac:dyDescent="0.25">
      <c r="A158" s="506"/>
      <c r="B158" s="359"/>
      <c r="C158" s="359"/>
      <c r="D158" s="359"/>
      <c r="E158" s="359"/>
      <c r="F158" s="359"/>
      <c r="G158" s="359"/>
      <c r="H158" s="27">
        <v>3812</v>
      </c>
      <c r="I158" s="10" t="s">
        <v>86</v>
      </c>
      <c r="J158" s="11">
        <v>4698</v>
      </c>
      <c r="K158" s="11">
        <v>5000</v>
      </c>
      <c r="L158" s="11">
        <v>5000</v>
      </c>
      <c r="M158" s="11">
        <f>Posebni!F135</f>
        <v>25000</v>
      </c>
      <c r="N158" s="11">
        <f>Posebni!G135</f>
        <v>3318.0702103656513</v>
      </c>
      <c r="O158" s="16">
        <f>Posebni!H135</f>
        <v>3500</v>
      </c>
      <c r="P158" s="647">
        <f>Posebni!I135</f>
        <v>26370.75</v>
      </c>
      <c r="Q158" s="16">
        <f>Posebni!J135</f>
        <v>5000</v>
      </c>
      <c r="R158" s="647">
        <f>Q158*7.5345</f>
        <v>37672.5</v>
      </c>
      <c r="S158" s="16">
        <f>Posebni!L135</f>
        <v>5000</v>
      </c>
      <c r="T158" s="647">
        <f>S158*7.5345</f>
        <v>37672.5</v>
      </c>
      <c r="U158" s="48">
        <f t="shared" si="192"/>
        <v>142.85714285714286</v>
      </c>
      <c r="V158" s="700">
        <f t="shared" si="193"/>
        <v>100</v>
      </c>
    </row>
    <row r="159" spans="1:22" s="1" customFormat="1" hidden="1" x14ac:dyDescent="0.25">
      <c r="A159" s="506"/>
      <c r="B159" s="359"/>
      <c r="C159" s="359"/>
      <c r="D159" s="359"/>
      <c r="E159" s="359"/>
      <c r="F159" s="359"/>
      <c r="G159" s="359"/>
      <c r="H159" s="24">
        <v>382</v>
      </c>
      <c r="I159" s="8" t="s">
        <v>38</v>
      </c>
      <c r="J159" s="12">
        <f t="shared" ref="J159:T159" si="194">SUM(J160:J160)</f>
        <v>65000</v>
      </c>
      <c r="K159" s="12">
        <f t="shared" si="194"/>
        <v>100000</v>
      </c>
      <c r="L159" s="12">
        <f t="shared" si="194"/>
        <v>116000</v>
      </c>
      <c r="M159" s="12">
        <f t="shared" si="194"/>
        <v>25000</v>
      </c>
      <c r="N159" s="12">
        <f t="shared" si="194"/>
        <v>3318.0702103656513</v>
      </c>
      <c r="O159" s="12">
        <f t="shared" si="194"/>
        <v>20000</v>
      </c>
      <c r="P159" s="626">
        <f t="shared" si="194"/>
        <v>150690</v>
      </c>
      <c r="Q159" s="12">
        <f t="shared" si="194"/>
        <v>4000</v>
      </c>
      <c r="R159" s="626">
        <f t="shared" si="194"/>
        <v>30138</v>
      </c>
      <c r="S159" s="12">
        <f t="shared" si="194"/>
        <v>5000</v>
      </c>
      <c r="T159" s="626">
        <f t="shared" si="194"/>
        <v>37672.5</v>
      </c>
      <c r="U159" s="48">
        <f t="shared" si="192"/>
        <v>20</v>
      </c>
      <c r="V159" s="700">
        <f t="shared" si="193"/>
        <v>125</v>
      </c>
    </row>
    <row r="160" spans="1:22" hidden="1" x14ac:dyDescent="0.25">
      <c r="A160" s="506"/>
      <c r="B160" s="359"/>
      <c r="C160" s="359"/>
      <c r="D160" s="359"/>
      <c r="E160" s="359"/>
      <c r="F160" s="359"/>
      <c r="G160" s="359"/>
      <c r="H160" s="25">
        <v>3821</v>
      </c>
      <c r="I160" s="15" t="s">
        <v>87</v>
      </c>
      <c r="J160" s="16">
        <v>65000</v>
      </c>
      <c r="K160" s="16">
        <v>100000</v>
      </c>
      <c r="L160" s="16">
        <v>116000</v>
      </c>
      <c r="M160" s="16">
        <f>Posebni!F270</f>
        <v>25000</v>
      </c>
      <c r="N160" s="16">
        <f>Posebni!G270</f>
        <v>3318.0702103656513</v>
      </c>
      <c r="O160" s="16">
        <f>Posebni!H270</f>
        <v>20000</v>
      </c>
      <c r="P160" s="647">
        <f>Posebni!I270</f>
        <v>150690</v>
      </c>
      <c r="Q160" s="16">
        <f>Posebni!J270</f>
        <v>4000</v>
      </c>
      <c r="R160" s="647">
        <f>Q160*7.5345</f>
        <v>30138</v>
      </c>
      <c r="S160" s="16">
        <f>Posebni!L270</f>
        <v>5000</v>
      </c>
      <c r="T160" s="647">
        <f>S160*7.5345</f>
        <v>37672.5</v>
      </c>
      <c r="U160" s="48">
        <f t="shared" si="192"/>
        <v>20</v>
      </c>
      <c r="V160" s="700">
        <f t="shared" si="193"/>
        <v>125</v>
      </c>
    </row>
    <row r="161" spans="1:22" s="1" customFormat="1" hidden="1" x14ac:dyDescent="0.25">
      <c r="A161" s="506"/>
      <c r="B161" s="359"/>
      <c r="C161" s="359"/>
      <c r="D161" s="359"/>
      <c r="E161" s="359" t="s">
        <v>367</v>
      </c>
      <c r="F161" s="359"/>
      <c r="G161" s="359"/>
      <c r="H161" s="24">
        <v>383</v>
      </c>
      <c r="I161" s="8" t="s">
        <v>89</v>
      </c>
      <c r="J161" s="12">
        <f t="shared" ref="J161:T161" si="195">SUM(J162)</f>
        <v>0</v>
      </c>
      <c r="K161" s="12">
        <f t="shared" si="195"/>
        <v>10000</v>
      </c>
      <c r="L161" s="12">
        <f t="shared" si="195"/>
        <v>121000</v>
      </c>
      <c r="M161" s="12">
        <f t="shared" si="195"/>
        <v>20000</v>
      </c>
      <c r="N161" s="12">
        <f t="shared" si="195"/>
        <v>2654.4561682925209</v>
      </c>
      <c r="O161" s="12">
        <f t="shared" si="195"/>
        <v>3000</v>
      </c>
      <c r="P161" s="626">
        <f t="shared" si="195"/>
        <v>22603.5</v>
      </c>
      <c r="Q161" s="12">
        <f t="shared" si="195"/>
        <v>3000</v>
      </c>
      <c r="R161" s="626">
        <f t="shared" si="195"/>
        <v>22603.5</v>
      </c>
      <c r="S161" s="12">
        <f t="shared" si="195"/>
        <v>3000</v>
      </c>
      <c r="T161" s="626">
        <f t="shared" si="195"/>
        <v>22603.5</v>
      </c>
      <c r="U161" s="48">
        <f t="shared" si="192"/>
        <v>100</v>
      </c>
      <c r="V161" s="700">
        <f t="shared" si="193"/>
        <v>100</v>
      </c>
    </row>
    <row r="162" spans="1:22" hidden="1" x14ac:dyDescent="0.25">
      <c r="A162" s="506"/>
      <c r="B162" s="359"/>
      <c r="C162" s="359"/>
      <c r="D162" s="359"/>
      <c r="E162" s="359"/>
      <c r="F162" s="359"/>
      <c r="G162" s="359"/>
      <c r="H162" s="25">
        <v>3831</v>
      </c>
      <c r="I162" s="15" t="s">
        <v>90</v>
      </c>
      <c r="J162" s="16">
        <v>0</v>
      </c>
      <c r="K162" s="16">
        <v>10000</v>
      </c>
      <c r="L162" s="16">
        <v>121000</v>
      </c>
      <c r="M162" s="16">
        <f>Posebni!F84</f>
        <v>20000</v>
      </c>
      <c r="N162" s="16">
        <f>Posebni!G84</f>
        <v>2654.4561682925209</v>
      </c>
      <c r="O162" s="16">
        <f>Posebni!H84</f>
        <v>3000</v>
      </c>
      <c r="P162" s="647">
        <f>Posebni!I84</f>
        <v>22603.5</v>
      </c>
      <c r="Q162" s="16">
        <f>Posebni!J84</f>
        <v>3000</v>
      </c>
      <c r="R162" s="647">
        <f>Q162*7.5345</f>
        <v>22603.5</v>
      </c>
      <c r="S162" s="16">
        <f>Posebni!L84</f>
        <v>3000</v>
      </c>
      <c r="T162" s="647">
        <f>S162*7.5345</f>
        <v>22603.5</v>
      </c>
      <c r="U162" s="48">
        <f t="shared" si="192"/>
        <v>100</v>
      </c>
      <c r="V162" s="700">
        <f t="shared" si="193"/>
        <v>100</v>
      </c>
    </row>
    <row r="163" spans="1:22" s="1" customFormat="1" hidden="1" x14ac:dyDescent="0.25">
      <c r="A163" s="508"/>
      <c r="B163" s="363"/>
      <c r="C163" s="363"/>
      <c r="D163" s="363"/>
      <c r="E163" s="363"/>
      <c r="F163" s="363"/>
      <c r="G163" s="363"/>
      <c r="H163" s="346">
        <v>384</v>
      </c>
      <c r="I163" s="347" t="s">
        <v>91</v>
      </c>
      <c r="J163" s="348">
        <f t="shared" ref="J163:P163" si="196">SUM(J164:J165)</f>
        <v>0</v>
      </c>
      <c r="K163" s="348">
        <f t="shared" si="196"/>
        <v>0</v>
      </c>
      <c r="L163" s="348">
        <f t="shared" si="196"/>
        <v>0</v>
      </c>
      <c r="M163" s="348">
        <f t="shared" si="196"/>
        <v>0</v>
      </c>
      <c r="N163" s="348">
        <f t="shared" si="196"/>
        <v>0</v>
      </c>
      <c r="O163" s="348">
        <f t="shared" si="196"/>
        <v>0</v>
      </c>
      <c r="P163" s="651">
        <f t="shared" si="196"/>
        <v>0</v>
      </c>
      <c r="Q163" s="348">
        <f t="shared" ref="Q163:T163" si="197">SUM(Q164:Q165)</f>
        <v>0</v>
      </c>
      <c r="R163" s="651">
        <f t="shared" ref="R163" si="198">SUM(R164:R165)</f>
        <v>0</v>
      </c>
      <c r="S163" s="348">
        <f t="shared" si="197"/>
        <v>0</v>
      </c>
      <c r="T163" s="651">
        <f t="shared" si="197"/>
        <v>0</v>
      </c>
      <c r="U163" s="48">
        <v>0</v>
      </c>
      <c r="V163" s="700">
        <v>0</v>
      </c>
    </row>
    <row r="164" spans="1:22" hidden="1" x14ac:dyDescent="0.25">
      <c r="A164" s="506"/>
      <c r="B164" s="359"/>
      <c r="C164" s="359"/>
      <c r="D164" s="359"/>
      <c r="E164" s="359"/>
      <c r="F164" s="359"/>
      <c r="G164" s="359"/>
      <c r="H164" s="25">
        <v>3841</v>
      </c>
      <c r="I164" s="15" t="s">
        <v>92</v>
      </c>
      <c r="J164" s="16">
        <v>0</v>
      </c>
      <c r="K164" s="16">
        <v>0</v>
      </c>
      <c r="L164" s="16">
        <v>0</v>
      </c>
      <c r="M164" s="16">
        <v>0</v>
      </c>
      <c r="N164" s="16">
        <v>0</v>
      </c>
      <c r="O164" s="16">
        <v>0</v>
      </c>
      <c r="P164" s="647">
        <v>0</v>
      </c>
      <c r="Q164" s="16">
        <v>0</v>
      </c>
      <c r="R164" s="647">
        <f>Q164*7.5345</f>
        <v>0</v>
      </c>
      <c r="S164" s="16">
        <v>0</v>
      </c>
      <c r="T164" s="647">
        <f>S164*7.5345</f>
        <v>0</v>
      </c>
      <c r="U164" s="48">
        <v>0</v>
      </c>
      <c r="V164" s="700">
        <v>0</v>
      </c>
    </row>
    <row r="165" spans="1:22" hidden="1" x14ac:dyDescent="0.25">
      <c r="A165" s="506"/>
      <c r="B165" s="359"/>
      <c r="C165" s="359"/>
      <c r="D165" s="359"/>
      <c r="E165" s="359"/>
      <c r="F165" s="359"/>
      <c r="G165" s="359"/>
      <c r="H165" s="25">
        <v>3842</v>
      </c>
      <c r="I165" s="15" t="s">
        <v>93</v>
      </c>
      <c r="J165" s="16">
        <v>0</v>
      </c>
      <c r="K165" s="16">
        <v>0</v>
      </c>
      <c r="L165" s="16">
        <v>0</v>
      </c>
      <c r="M165" s="16">
        <v>0</v>
      </c>
      <c r="N165" s="16">
        <v>0</v>
      </c>
      <c r="O165" s="16">
        <v>0</v>
      </c>
      <c r="P165" s="647">
        <v>0</v>
      </c>
      <c r="Q165" s="16">
        <v>0</v>
      </c>
      <c r="R165" s="647">
        <f>Q165*7.5345</f>
        <v>0</v>
      </c>
      <c r="S165" s="16">
        <v>0</v>
      </c>
      <c r="T165" s="647">
        <f>S165*7.5345</f>
        <v>0</v>
      </c>
      <c r="U165" s="48">
        <v>0</v>
      </c>
      <c r="V165" s="700">
        <v>0</v>
      </c>
    </row>
    <row r="166" spans="1:22" s="1" customFormat="1" hidden="1" x14ac:dyDescent="0.25">
      <c r="A166" s="506"/>
      <c r="B166" s="359"/>
      <c r="C166" s="359"/>
      <c r="D166" s="359"/>
      <c r="E166" s="359"/>
      <c r="F166" s="359"/>
      <c r="G166" s="359"/>
      <c r="H166" s="24">
        <v>385</v>
      </c>
      <c r="I166" s="8" t="s">
        <v>94</v>
      </c>
      <c r="J166" s="12">
        <f t="shared" ref="J166:T166" si="199">SUM(J167)</f>
        <v>0</v>
      </c>
      <c r="K166" s="12">
        <f t="shared" si="199"/>
        <v>10000</v>
      </c>
      <c r="L166" s="12">
        <f t="shared" si="199"/>
        <v>10000</v>
      </c>
      <c r="M166" s="12">
        <f t="shared" si="199"/>
        <v>0</v>
      </c>
      <c r="N166" s="12">
        <f t="shared" si="199"/>
        <v>0</v>
      </c>
      <c r="O166" s="12">
        <f t="shared" si="199"/>
        <v>0</v>
      </c>
      <c r="P166" s="626">
        <f t="shared" si="199"/>
        <v>0</v>
      </c>
      <c r="Q166" s="12">
        <f t="shared" si="199"/>
        <v>0</v>
      </c>
      <c r="R166" s="626">
        <f t="shared" si="199"/>
        <v>0</v>
      </c>
      <c r="S166" s="12">
        <f t="shared" si="199"/>
        <v>0</v>
      </c>
      <c r="T166" s="626">
        <f t="shared" si="199"/>
        <v>0</v>
      </c>
      <c r="U166" s="48">
        <v>0</v>
      </c>
      <c r="V166" s="700">
        <v>0</v>
      </c>
    </row>
    <row r="167" spans="1:22" hidden="1" x14ac:dyDescent="0.25">
      <c r="A167" s="506"/>
      <c r="B167" s="359"/>
      <c r="C167" s="359"/>
      <c r="D167" s="359"/>
      <c r="E167" s="359"/>
      <c r="F167" s="359"/>
      <c r="G167" s="359"/>
      <c r="H167" s="25">
        <v>3851</v>
      </c>
      <c r="I167" s="15" t="s">
        <v>159</v>
      </c>
      <c r="J167" s="16">
        <v>0</v>
      </c>
      <c r="K167" s="16">
        <v>10000</v>
      </c>
      <c r="L167" s="16">
        <v>10000</v>
      </c>
      <c r="M167" s="16">
        <v>0</v>
      </c>
      <c r="N167" s="16">
        <v>0</v>
      </c>
      <c r="O167" s="16">
        <v>0</v>
      </c>
      <c r="P167" s="647">
        <v>0</v>
      </c>
      <c r="Q167" s="16">
        <v>0</v>
      </c>
      <c r="R167" s="647">
        <f>Q167*7.5345</f>
        <v>0</v>
      </c>
      <c r="S167" s="16">
        <v>0</v>
      </c>
      <c r="T167" s="647">
        <f>S167*7.5345</f>
        <v>0</v>
      </c>
      <c r="U167" s="48">
        <v>0</v>
      </c>
      <c r="V167" s="700">
        <v>0</v>
      </c>
    </row>
    <row r="168" spans="1:22" hidden="1" x14ac:dyDescent="0.25">
      <c r="A168" s="506"/>
      <c r="B168" s="359"/>
      <c r="C168" s="359"/>
      <c r="D168" s="359" t="s">
        <v>366</v>
      </c>
      <c r="E168" s="359"/>
      <c r="F168" s="359"/>
      <c r="G168" s="359"/>
      <c r="H168" s="28">
        <v>386</v>
      </c>
      <c r="I168" s="9" t="s">
        <v>127</v>
      </c>
      <c r="J168" s="12">
        <f t="shared" ref="J168:T168" si="200">SUM(J169)</f>
        <v>0</v>
      </c>
      <c r="K168" s="12">
        <f t="shared" si="200"/>
        <v>10000</v>
      </c>
      <c r="L168" s="12">
        <f t="shared" si="200"/>
        <v>50000</v>
      </c>
      <c r="M168" s="12">
        <f t="shared" si="200"/>
        <v>200000</v>
      </c>
      <c r="N168" s="12">
        <f t="shared" si="200"/>
        <v>26544.56168292521</v>
      </c>
      <c r="O168" s="12">
        <f t="shared" si="200"/>
        <v>30000</v>
      </c>
      <c r="P168" s="626">
        <f t="shared" si="200"/>
        <v>226035</v>
      </c>
      <c r="Q168" s="12">
        <f t="shared" si="200"/>
        <v>100000</v>
      </c>
      <c r="R168" s="626">
        <f t="shared" si="200"/>
        <v>753450</v>
      </c>
      <c r="S168" s="12">
        <f t="shared" si="200"/>
        <v>70000</v>
      </c>
      <c r="T168" s="626">
        <f t="shared" si="200"/>
        <v>527415</v>
      </c>
      <c r="U168" s="48">
        <f t="shared" si="192"/>
        <v>333.33333333333337</v>
      </c>
      <c r="V168" s="700">
        <f t="shared" si="193"/>
        <v>70</v>
      </c>
    </row>
    <row r="169" spans="1:22" hidden="1" x14ac:dyDescent="0.25">
      <c r="A169" s="506"/>
      <c r="B169" s="359"/>
      <c r="C169" s="359"/>
      <c r="D169" s="359"/>
      <c r="E169" s="359"/>
      <c r="F169" s="359"/>
      <c r="G169" s="359"/>
      <c r="H169" s="25">
        <v>3861</v>
      </c>
      <c r="I169" s="15" t="s">
        <v>486</v>
      </c>
      <c r="J169" s="16">
        <v>0</v>
      </c>
      <c r="K169" s="16">
        <v>10000</v>
      </c>
      <c r="L169" s="16">
        <v>50000</v>
      </c>
      <c r="M169" s="16">
        <f>Posebni!F413+Posebni!F414</f>
        <v>200000</v>
      </c>
      <c r="N169" s="16">
        <f>Posebni!G413+Posebni!G414</f>
        <v>26544.56168292521</v>
      </c>
      <c r="O169" s="16">
        <f>Posebni!H413+Posebni!H414</f>
        <v>30000</v>
      </c>
      <c r="P169" s="647">
        <f>Posebni!I413+Posebni!I414</f>
        <v>226035</v>
      </c>
      <c r="Q169" s="16">
        <f>Posebni!J413+Posebni!J414</f>
        <v>100000</v>
      </c>
      <c r="R169" s="647">
        <f>Q169*7.5345</f>
        <v>753450</v>
      </c>
      <c r="S169" s="16">
        <f>Posebni!L413+Posebni!L414</f>
        <v>70000</v>
      </c>
      <c r="T169" s="647">
        <f>S169*7.5345</f>
        <v>527415</v>
      </c>
      <c r="U169" s="52">
        <f t="shared" si="192"/>
        <v>333.33333333333337</v>
      </c>
      <c r="V169" s="700">
        <f t="shared" si="193"/>
        <v>70</v>
      </c>
    </row>
    <row r="170" spans="1:22" s="59" customFormat="1" ht="13.8" thickBot="1" x14ac:dyDescent="0.3">
      <c r="A170" s="510"/>
      <c r="B170" s="370"/>
      <c r="C170" s="370"/>
      <c r="D170" s="370"/>
      <c r="E170" s="370"/>
      <c r="F170" s="370"/>
      <c r="G170" s="370"/>
      <c r="H170" s="60">
        <v>4</v>
      </c>
      <c r="I170" s="61" t="s">
        <v>4</v>
      </c>
      <c r="J170" s="62" t="e">
        <f t="shared" ref="J170:L170" si="201">SUM(J171+J174+J189)</f>
        <v>#REF!</v>
      </c>
      <c r="K170" s="62" t="e">
        <f t="shared" si="201"/>
        <v>#REF!</v>
      </c>
      <c r="L170" s="62" t="e">
        <f t="shared" si="201"/>
        <v>#REF!</v>
      </c>
      <c r="M170" s="62" t="e">
        <f t="shared" ref="M170:T170" si="202">SUM(M171+M174+M189)</f>
        <v>#REF!</v>
      </c>
      <c r="N170" s="62" t="e">
        <f t="shared" si="202"/>
        <v>#REF!</v>
      </c>
      <c r="O170" s="62">
        <f t="shared" si="202"/>
        <v>1575500</v>
      </c>
      <c r="P170" s="650" t="e">
        <f t="shared" si="202"/>
        <v>#REF!</v>
      </c>
      <c r="Q170" s="62">
        <f t="shared" si="202"/>
        <v>1656500</v>
      </c>
      <c r="R170" s="650" t="e">
        <f t="shared" si="202"/>
        <v>#REF!</v>
      </c>
      <c r="S170" s="62">
        <f t="shared" si="202"/>
        <v>1671500</v>
      </c>
      <c r="T170" s="650">
        <f t="shared" si="202"/>
        <v>12593916.75</v>
      </c>
      <c r="U170" s="711">
        <f>Q170/O170*100</f>
        <v>105.141225007934</v>
      </c>
      <c r="V170" s="701">
        <f>S170/Q170*100</f>
        <v>100.90552369453667</v>
      </c>
    </row>
    <row r="171" spans="1:22" s="85" customFormat="1" x14ac:dyDescent="0.25">
      <c r="A171" s="505"/>
      <c r="B171" s="368"/>
      <c r="C171" s="368"/>
      <c r="D171" s="368"/>
      <c r="E171" s="368"/>
      <c r="F171" s="368"/>
      <c r="G171" s="368"/>
      <c r="H171" s="79">
        <v>41</v>
      </c>
      <c r="I171" s="89" t="s">
        <v>160</v>
      </c>
      <c r="J171" s="81">
        <f t="shared" ref="J171:T172" si="203">SUM(J172)</f>
        <v>0</v>
      </c>
      <c r="K171" s="81">
        <f t="shared" si="203"/>
        <v>70000</v>
      </c>
      <c r="L171" s="81">
        <f t="shared" si="203"/>
        <v>0</v>
      </c>
      <c r="M171" s="81">
        <f t="shared" si="203"/>
        <v>100000</v>
      </c>
      <c r="N171" s="81">
        <f t="shared" si="203"/>
        <v>13272.280841462605</v>
      </c>
      <c r="O171" s="81">
        <f t="shared" si="203"/>
        <v>13500</v>
      </c>
      <c r="P171" s="646">
        <f t="shared" si="203"/>
        <v>101715.75</v>
      </c>
      <c r="Q171" s="81">
        <f t="shared" si="203"/>
        <v>20000</v>
      </c>
      <c r="R171" s="646">
        <f t="shared" si="203"/>
        <v>150690</v>
      </c>
      <c r="S171" s="81">
        <f t="shared" si="203"/>
        <v>20000</v>
      </c>
      <c r="T171" s="646">
        <f t="shared" si="203"/>
        <v>150690</v>
      </c>
      <c r="U171" s="82">
        <f>Q171/O171*100</f>
        <v>148.14814814814815</v>
      </c>
      <c r="V171" s="699">
        <f>S171/Q171*100</f>
        <v>100</v>
      </c>
    </row>
    <row r="172" spans="1:22" s="1" customFormat="1" hidden="1" x14ac:dyDescent="0.25">
      <c r="A172" s="506"/>
      <c r="B172" s="359"/>
      <c r="C172" s="359"/>
      <c r="D172" s="359"/>
      <c r="E172" s="359"/>
      <c r="F172" s="359" t="s">
        <v>368</v>
      </c>
      <c r="G172" s="359"/>
      <c r="H172" s="24">
        <v>411</v>
      </c>
      <c r="I172" s="8" t="s">
        <v>95</v>
      </c>
      <c r="J172" s="12">
        <f t="shared" si="203"/>
        <v>0</v>
      </c>
      <c r="K172" s="12">
        <f t="shared" si="203"/>
        <v>70000</v>
      </c>
      <c r="L172" s="12">
        <f t="shared" si="203"/>
        <v>0</v>
      </c>
      <c r="M172" s="12">
        <f t="shared" si="203"/>
        <v>100000</v>
      </c>
      <c r="N172" s="12">
        <f t="shared" si="203"/>
        <v>13272.280841462605</v>
      </c>
      <c r="O172" s="12">
        <f t="shared" si="203"/>
        <v>13500</v>
      </c>
      <c r="P172" s="626">
        <f t="shared" si="203"/>
        <v>101715.75</v>
      </c>
      <c r="Q172" s="12">
        <f t="shared" si="203"/>
        <v>20000</v>
      </c>
      <c r="R172" s="626">
        <f t="shared" si="203"/>
        <v>150690</v>
      </c>
      <c r="S172" s="12">
        <f t="shared" si="203"/>
        <v>20000</v>
      </c>
      <c r="T172" s="626">
        <f t="shared" si="203"/>
        <v>150690</v>
      </c>
      <c r="U172" s="48">
        <f t="shared" ref="U172:U173" si="204">Q172/O172*100</f>
        <v>148.14814814814815</v>
      </c>
      <c r="V172" s="700">
        <f t="shared" ref="V172:V173" si="205">S172/Q172*100</f>
        <v>100</v>
      </c>
    </row>
    <row r="173" spans="1:22" hidden="1" x14ac:dyDescent="0.25">
      <c r="A173" s="506"/>
      <c r="B173" s="359"/>
      <c r="C173" s="359"/>
      <c r="D173" s="359"/>
      <c r="E173" s="359"/>
      <c r="F173" s="359"/>
      <c r="G173" s="359"/>
      <c r="H173" s="25">
        <v>4111</v>
      </c>
      <c r="I173" s="15" t="s">
        <v>40</v>
      </c>
      <c r="J173" s="16">
        <v>0</v>
      </c>
      <c r="K173" s="16">
        <v>70000</v>
      </c>
      <c r="L173" s="16">
        <v>0</v>
      </c>
      <c r="M173" s="16">
        <f>Posebni!F391</f>
        <v>100000</v>
      </c>
      <c r="N173" s="16">
        <f>Posebni!G391</f>
        <v>13272.280841462605</v>
      </c>
      <c r="O173" s="16">
        <f>Posebni!H391</f>
        <v>13500</v>
      </c>
      <c r="P173" s="647">
        <f>Posebni!I391</f>
        <v>101715.75</v>
      </c>
      <c r="Q173" s="16">
        <f>Posebni!J391</f>
        <v>20000</v>
      </c>
      <c r="R173" s="647">
        <f>Q173*7.5345</f>
        <v>150690</v>
      </c>
      <c r="S173" s="16">
        <f>Posebni!L391</f>
        <v>20000</v>
      </c>
      <c r="T173" s="647">
        <f>S173*7.5345</f>
        <v>150690</v>
      </c>
      <c r="U173" s="48">
        <f t="shared" si="204"/>
        <v>148.14814814814815</v>
      </c>
      <c r="V173" s="700">
        <f t="shared" si="205"/>
        <v>100</v>
      </c>
    </row>
    <row r="174" spans="1:22" s="85" customFormat="1" x14ac:dyDescent="0.25">
      <c r="A174" s="507"/>
      <c r="B174" s="369"/>
      <c r="C174" s="369"/>
      <c r="D174" s="369"/>
      <c r="E174" s="369"/>
      <c r="F174" s="369"/>
      <c r="G174" s="369"/>
      <c r="H174" s="86">
        <v>42</v>
      </c>
      <c r="I174" s="90" t="s">
        <v>161</v>
      </c>
      <c r="J174" s="88" t="e">
        <f>SUM(J175+J179+#REF!+#REF!+J185)</f>
        <v>#REF!</v>
      </c>
      <c r="K174" s="88" t="e">
        <f>SUM(K175+K179+#REF!+K185)</f>
        <v>#REF!</v>
      </c>
      <c r="L174" s="88" t="e">
        <f>SUM(L175+L179+#REF!+L185)</f>
        <v>#REF!</v>
      </c>
      <c r="M174" s="88" t="e">
        <f t="shared" ref="M174:T174" si="206">SUM(M175+M179+M185)</f>
        <v>#REF!</v>
      </c>
      <c r="N174" s="88" t="e">
        <f t="shared" si="206"/>
        <v>#REF!</v>
      </c>
      <c r="O174" s="88">
        <f t="shared" si="206"/>
        <v>1465500</v>
      </c>
      <c r="P174" s="648" t="e">
        <f t="shared" si="206"/>
        <v>#REF!</v>
      </c>
      <c r="Q174" s="88">
        <f t="shared" si="206"/>
        <v>1486500</v>
      </c>
      <c r="R174" s="648" t="e">
        <f t="shared" si="206"/>
        <v>#REF!</v>
      </c>
      <c r="S174" s="88">
        <f t="shared" si="206"/>
        <v>1651500</v>
      </c>
      <c r="T174" s="648">
        <f t="shared" si="206"/>
        <v>12443226.75</v>
      </c>
      <c r="U174" s="82">
        <f>Q174/O174*100</f>
        <v>101.43295803480041</v>
      </c>
      <c r="V174" s="699">
        <f>S174/Q174*100</f>
        <v>111.09989909182644</v>
      </c>
    </row>
    <row r="175" spans="1:22" s="1" customFormat="1" hidden="1" x14ac:dyDescent="0.25">
      <c r="A175" s="506"/>
      <c r="B175" s="359"/>
      <c r="C175" s="359" t="s">
        <v>365</v>
      </c>
      <c r="D175" s="359" t="s">
        <v>366</v>
      </c>
      <c r="E175" s="359"/>
      <c r="F175" s="359"/>
      <c r="G175" s="359"/>
      <c r="H175" s="24">
        <v>421</v>
      </c>
      <c r="I175" s="8" t="s">
        <v>97</v>
      </c>
      <c r="J175" s="12">
        <f t="shared" ref="J175:P175" si="207">SUM(J176:J178)</f>
        <v>3570032</v>
      </c>
      <c r="K175" s="12">
        <f t="shared" si="207"/>
        <v>1450000</v>
      </c>
      <c r="L175" s="12">
        <f t="shared" si="207"/>
        <v>190000</v>
      </c>
      <c r="M175" s="12" t="e">
        <f t="shared" si="207"/>
        <v>#REF!</v>
      </c>
      <c r="N175" s="12" t="e">
        <f t="shared" si="207"/>
        <v>#REF!</v>
      </c>
      <c r="O175" s="12">
        <f t="shared" si="207"/>
        <v>1375000</v>
      </c>
      <c r="P175" s="626" t="e">
        <f t="shared" si="207"/>
        <v>#REF!</v>
      </c>
      <c r="Q175" s="12">
        <f t="shared" ref="Q175:T175" si="208">SUM(Q176:Q178)</f>
        <v>1475000</v>
      </c>
      <c r="R175" s="626" t="e">
        <f t="shared" ref="R175" si="209">SUM(R176:R178)</f>
        <v>#REF!</v>
      </c>
      <c r="S175" s="12">
        <f t="shared" si="208"/>
        <v>1635000</v>
      </c>
      <c r="T175" s="626">
        <f t="shared" si="208"/>
        <v>12318907.5</v>
      </c>
      <c r="U175" s="48">
        <f t="shared" ref="U175:U186" si="210">Q175/O175*100</f>
        <v>107.27272727272728</v>
      </c>
      <c r="V175" s="700">
        <f t="shared" ref="V175:V186" si="211">S175/Q175*100</f>
        <v>110.84745762711864</v>
      </c>
    </row>
    <row r="176" spans="1:22" hidden="1" x14ac:dyDescent="0.25">
      <c r="A176" s="506"/>
      <c r="B176" s="359"/>
      <c r="C176" s="359"/>
      <c r="D176" s="359"/>
      <c r="E176" s="359"/>
      <c r="F176" s="359"/>
      <c r="G176" s="359"/>
      <c r="H176" s="25">
        <v>4212</v>
      </c>
      <c r="I176" s="15" t="s">
        <v>98</v>
      </c>
      <c r="J176" s="16">
        <v>700190</v>
      </c>
      <c r="K176" s="16">
        <v>350000</v>
      </c>
      <c r="L176" s="16">
        <v>70000</v>
      </c>
      <c r="M176" s="16" t="e">
        <f>Posebni!#REF!</f>
        <v>#REF!</v>
      </c>
      <c r="N176" s="16" t="e">
        <f>Posebni!#REF!</f>
        <v>#REF!</v>
      </c>
      <c r="O176" s="16">
        <v>0</v>
      </c>
      <c r="P176" s="647" t="e">
        <f>Posebni!#REF!</f>
        <v>#REF!</v>
      </c>
      <c r="Q176" s="16">
        <v>0</v>
      </c>
      <c r="R176" s="647">
        <f>Q176*7.5345</f>
        <v>0</v>
      </c>
      <c r="S176" s="16">
        <v>0</v>
      </c>
      <c r="T176" s="647">
        <f>S176*7.5345</f>
        <v>0</v>
      </c>
      <c r="U176" s="48" t="e">
        <f t="shared" si="210"/>
        <v>#DIV/0!</v>
      </c>
      <c r="V176" s="700">
        <v>0</v>
      </c>
    </row>
    <row r="177" spans="1:22" hidden="1" x14ac:dyDescent="0.25">
      <c r="A177" s="506"/>
      <c r="B177" s="359"/>
      <c r="C177" s="359"/>
      <c r="D177" s="359"/>
      <c r="E177" s="359"/>
      <c r="F177" s="359"/>
      <c r="G177" s="359"/>
      <c r="H177" s="25">
        <v>4213</v>
      </c>
      <c r="I177" s="15" t="s">
        <v>141</v>
      </c>
      <c r="J177" s="16">
        <v>2869842</v>
      </c>
      <c r="K177" s="16">
        <v>100000</v>
      </c>
      <c r="L177" s="16">
        <v>100000</v>
      </c>
      <c r="M177" s="16" t="e">
        <f>Posebni!F403+Posebni!F404+Posebni!#REF!+Posebni!#REF!+Posebni!F407</f>
        <v>#REF!</v>
      </c>
      <c r="N177" s="16" t="e">
        <f>Posebni!G403+Posebni!G404+Posebni!#REF!+Posebni!#REF!+Posebni!G407</f>
        <v>#REF!</v>
      </c>
      <c r="O177" s="16">
        <f>Posebni!H403+Posebni!H404+Posebni!H406+Posebni!H407</f>
        <v>220000</v>
      </c>
      <c r="P177" s="16" t="e">
        <f>Posebni!I403+Posebni!I404+Posebni!#REF!+Posebni!#REF!+Posebni!#REF!+Posebni!I406+Posebni!I407</f>
        <v>#REF!</v>
      </c>
      <c r="Q177" s="16">
        <f>Posebni!J403+Posebni!J404+Posebni!J405+Posebni!J406+Posebni!J407</f>
        <v>220000</v>
      </c>
      <c r="R177" s="16" t="e">
        <f>Posebni!K403+Posebni!K404+Posebni!#REF!+Posebni!#REF!+Posebni!#REF!+Posebni!K406+Posebni!K407</f>
        <v>#REF!</v>
      </c>
      <c r="S177" s="16">
        <f>Posebni!L403+Posebni!L404+Posebni!L405+Posebni!L406+Posebni!L407</f>
        <v>230000</v>
      </c>
      <c r="T177" s="647">
        <f>S177*7.5345</f>
        <v>1732935</v>
      </c>
      <c r="U177" s="48">
        <f t="shared" si="210"/>
        <v>100</v>
      </c>
      <c r="V177" s="700">
        <f t="shared" si="211"/>
        <v>104.54545454545455</v>
      </c>
    </row>
    <row r="178" spans="1:22" hidden="1" x14ac:dyDescent="0.25">
      <c r="A178" s="506"/>
      <c r="B178" s="359"/>
      <c r="C178" s="359"/>
      <c r="D178" s="359"/>
      <c r="E178" s="359"/>
      <c r="F178" s="359"/>
      <c r="G178" s="359"/>
      <c r="H178" s="25">
        <v>4214</v>
      </c>
      <c r="I178" s="15" t="s">
        <v>119</v>
      </c>
      <c r="J178" s="16">
        <v>0</v>
      </c>
      <c r="K178" s="16">
        <v>1000000</v>
      </c>
      <c r="L178" s="16">
        <v>20000</v>
      </c>
      <c r="M178" s="16" t="e">
        <f>Posebni!F315+Posebni!F397+Posebni!F420+Posebni!F445+Posebni!F451+Posebni!F463+Posebni!#REF!+Posebni!F464+Posebni!F477+Posebni!#REF!+Posebni!#REF!+Posebni!#REF!+Posebni!F491+Posebni!F499</f>
        <v>#REF!</v>
      </c>
      <c r="N178" s="16" t="e">
        <f>Posebni!G315+Posebni!G397+Posebni!G420+Posebni!G445+Posebni!G451+Posebni!G463+Posebni!#REF!+Posebni!G464+Posebni!G477+Posebni!#REF!+Posebni!#REF!+Posebni!#REF!+Posebni!G491+Posebni!G499</f>
        <v>#REF!</v>
      </c>
      <c r="O178" s="16">
        <f>Posebni!H397+Posebni!H420+Posebni!H422+Posebni!H445+Posebni!H451+Posebni!H457+Posebni!H463+Posebni!H464+Posebni!H477+Posebni!H483+Posebni!H491+Posebni!H493+Posebni!H499+Posebni!H501+Posebni!H507+Posebni!H508</f>
        <v>1155000</v>
      </c>
      <c r="P178" s="647" t="e">
        <f>Posebni!I315+Posebni!I397+Posebni!I420+Posebni!I445+Posebni!I451+Posebni!I463+Posebni!#REF!+Posebni!I464+Posebni!I477+Posebni!#REF!+Posebni!#REF!+Posebni!#REF!+Posebni!I491+Posebni!I499+Posebni!I483+Posebni!I508</f>
        <v>#REF!</v>
      </c>
      <c r="Q178" s="16">
        <f>Posebni!J397+Posebni!J420+Posebni!J422+Posebni!J428+Posebni!J430+Posebni!J445+Posebni!J451+Posebni!J457+Posebni!J463+Posebni!J464+Posebni!J477+Posebni!J483+Posebni!J491+Posebni!J493+Posebni!J499+Posebni!J501+Posebni!J508+Posebni!J514+Posebni!J516</f>
        <v>1255000</v>
      </c>
      <c r="R178" s="647">
        <f>Q178*7.5345</f>
        <v>9455797.5</v>
      </c>
      <c r="S178" s="16">
        <f>Posebni!L397+Posebni!L420+Posebni!L422+Posebni!L428+Posebni!L430+Posebni!L445+Posebni!L451+Posebni!L457+Posebni!L463+Posebni!J464+Posebni!L477+Posebni!L483+Posebni!L491+Posebni!L493+Posebni!L499+Posebni!L501+Posebni!L508+Posebni!L514+Posebni!L516</f>
        <v>1405000</v>
      </c>
      <c r="T178" s="647">
        <f>S178*7.5345</f>
        <v>10585972.5</v>
      </c>
      <c r="U178" s="48">
        <f t="shared" si="210"/>
        <v>108.65800865800865</v>
      </c>
      <c r="V178" s="700">
        <f t="shared" si="211"/>
        <v>111.95219123505976</v>
      </c>
    </row>
    <row r="179" spans="1:22" s="1" customFormat="1" hidden="1" x14ac:dyDescent="0.25">
      <c r="A179" s="506"/>
      <c r="B179" s="359"/>
      <c r="C179" s="359"/>
      <c r="D179" s="359"/>
      <c r="E179" s="359"/>
      <c r="F179" s="359"/>
      <c r="G179" s="359"/>
      <c r="H179" s="24">
        <v>422</v>
      </c>
      <c r="I179" s="8" t="s">
        <v>99</v>
      </c>
      <c r="J179" s="12">
        <f t="shared" ref="J179:P179" si="212">SUM(J180:J184)</f>
        <v>15009</v>
      </c>
      <c r="K179" s="12">
        <f t="shared" si="212"/>
        <v>62000</v>
      </c>
      <c r="L179" s="12">
        <f t="shared" si="212"/>
        <v>62000</v>
      </c>
      <c r="M179" s="12" t="e">
        <f t="shared" si="212"/>
        <v>#REF!</v>
      </c>
      <c r="N179" s="12" t="e">
        <f t="shared" si="212"/>
        <v>#REF!</v>
      </c>
      <c r="O179" s="12">
        <f t="shared" si="212"/>
        <v>39000</v>
      </c>
      <c r="P179" s="626" t="e">
        <f t="shared" si="212"/>
        <v>#REF!</v>
      </c>
      <c r="Q179" s="12">
        <f t="shared" ref="Q179:T179" si="213">SUM(Q180:Q184)</f>
        <v>7000</v>
      </c>
      <c r="R179" s="626">
        <f t="shared" ref="R179" si="214">SUM(R180:R184)</f>
        <v>52741.5</v>
      </c>
      <c r="S179" s="12">
        <f t="shared" si="213"/>
        <v>12000</v>
      </c>
      <c r="T179" s="626">
        <f t="shared" si="213"/>
        <v>90414</v>
      </c>
      <c r="U179" s="48">
        <f t="shared" si="210"/>
        <v>17.948717948717949</v>
      </c>
      <c r="V179" s="700">
        <f t="shared" si="211"/>
        <v>171.42857142857142</v>
      </c>
    </row>
    <row r="180" spans="1:22" hidden="1" x14ac:dyDescent="0.25">
      <c r="A180" s="506"/>
      <c r="B180" s="359"/>
      <c r="C180" s="359"/>
      <c r="D180" s="359"/>
      <c r="E180" s="359"/>
      <c r="F180" s="359"/>
      <c r="G180" s="359"/>
      <c r="H180" s="25">
        <v>4221</v>
      </c>
      <c r="I180" s="15" t="s">
        <v>165</v>
      </c>
      <c r="J180" s="16">
        <v>15009</v>
      </c>
      <c r="K180" s="16">
        <v>20000</v>
      </c>
      <c r="L180" s="16">
        <v>20000</v>
      </c>
      <c r="M180" s="16">
        <f>Posebni!F62</f>
        <v>20000</v>
      </c>
      <c r="N180" s="16">
        <f>Posebni!G62</f>
        <v>2654.4561682925209</v>
      </c>
      <c r="O180" s="16">
        <f>Posebni!H62</f>
        <v>3000</v>
      </c>
      <c r="P180" s="647">
        <f>Posebni!I62</f>
        <v>22603.5</v>
      </c>
      <c r="Q180" s="16">
        <f>Posebni!J62</f>
        <v>3000</v>
      </c>
      <c r="R180" s="647">
        <f>Q180*7.5345</f>
        <v>22603.5</v>
      </c>
      <c r="S180" s="16">
        <f>Posebni!L62</f>
        <v>3000</v>
      </c>
      <c r="T180" s="647">
        <f>S180*7.5345</f>
        <v>22603.5</v>
      </c>
      <c r="U180" s="48">
        <f t="shared" si="210"/>
        <v>100</v>
      </c>
      <c r="V180" s="700">
        <f t="shared" si="211"/>
        <v>100</v>
      </c>
    </row>
    <row r="181" spans="1:22" hidden="1" x14ac:dyDescent="0.25">
      <c r="A181" s="506"/>
      <c r="B181" s="359"/>
      <c r="C181" s="359"/>
      <c r="D181" s="359"/>
      <c r="E181" s="359"/>
      <c r="F181" s="359"/>
      <c r="G181" s="359"/>
      <c r="H181" s="25">
        <v>4222</v>
      </c>
      <c r="I181" s="15" t="s">
        <v>101</v>
      </c>
      <c r="J181" s="16">
        <v>0</v>
      </c>
      <c r="K181" s="16">
        <v>5000</v>
      </c>
      <c r="L181" s="16">
        <v>5000</v>
      </c>
      <c r="M181" s="16">
        <f>Posebni!F63</f>
        <v>15000</v>
      </c>
      <c r="N181" s="16">
        <f>Posebni!G63</f>
        <v>1990.8421262193906</v>
      </c>
      <c r="O181" s="16">
        <f>Posebni!H63</f>
        <v>4000</v>
      </c>
      <c r="P181" s="647">
        <f>Posebni!I63</f>
        <v>30138</v>
      </c>
      <c r="Q181" s="16">
        <f>Posebni!J63</f>
        <v>0</v>
      </c>
      <c r="R181" s="647">
        <f>Q181*7.5345</f>
        <v>0</v>
      </c>
      <c r="S181" s="16">
        <f>Posebni!L63</f>
        <v>5000</v>
      </c>
      <c r="T181" s="647">
        <f>S181*7.5345</f>
        <v>37672.5</v>
      </c>
      <c r="U181" s="48">
        <f t="shared" si="210"/>
        <v>0</v>
      </c>
      <c r="V181" s="700" t="e">
        <f t="shared" si="211"/>
        <v>#DIV/0!</v>
      </c>
    </row>
    <row r="182" spans="1:22" hidden="1" x14ac:dyDescent="0.25">
      <c r="A182" s="506"/>
      <c r="B182" s="359"/>
      <c r="C182" s="359"/>
      <c r="D182" s="359"/>
      <c r="E182" s="359"/>
      <c r="F182" s="359"/>
      <c r="G182" s="359"/>
      <c r="H182" s="25">
        <v>4223</v>
      </c>
      <c r="I182" s="15" t="s">
        <v>112</v>
      </c>
      <c r="J182" s="16">
        <v>0</v>
      </c>
      <c r="K182" s="16">
        <v>2000</v>
      </c>
      <c r="L182" s="16">
        <v>2000</v>
      </c>
      <c r="M182" s="16" t="e">
        <f>Posebni!F64+Posebni!#REF!</f>
        <v>#REF!</v>
      </c>
      <c r="N182" s="16" t="e">
        <f>Posebni!G64+Posebni!#REF!</f>
        <v>#REF!</v>
      </c>
      <c r="O182" s="16">
        <f>Posebni!H64</f>
        <v>1000</v>
      </c>
      <c r="P182" s="647" t="e">
        <f>Posebni!I64+Posebni!#REF!</f>
        <v>#REF!</v>
      </c>
      <c r="Q182" s="16">
        <f>Posebni!J64</f>
        <v>1000</v>
      </c>
      <c r="R182" s="647">
        <f>Q182*7.5345</f>
        <v>7534.5</v>
      </c>
      <c r="S182" s="16">
        <f>Posebni!L64</f>
        <v>1000</v>
      </c>
      <c r="T182" s="647">
        <f>S182*7.5345</f>
        <v>7534.5</v>
      </c>
      <c r="U182" s="48">
        <f t="shared" si="210"/>
        <v>100</v>
      </c>
      <c r="V182" s="700">
        <f t="shared" si="211"/>
        <v>100</v>
      </c>
    </row>
    <row r="183" spans="1:22" hidden="1" x14ac:dyDescent="0.25">
      <c r="A183" s="506"/>
      <c r="B183" s="359"/>
      <c r="C183" s="359"/>
      <c r="D183" s="359"/>
      <c r="E183" s="359"/>
      <c r="F183" s="359"/>
      <c r="G183" s="359"/>
      <c r="H183" s="25">
        <v>4226</v>
      </c>
      <c r="I183" s="15" t="s">
        <v>386</v>
      </c>
      <c r="J183" s="16"/>
      <c r="K183" s="16"/>
      <c r="L183" s="16"/>
      <c r="M183" s="16">
        <f>Posebni!F65</f>
        <v>7500</v>
      </c>
      <c r="N183" s="16">
        <f>Posebni!G65</f>
        <v>995.4210631096953</v>
      </c>
      <c r="O183" s="16">
        <f>Posebni!H65</f>
        <v>1000</v>
      </c>
      <c r="P183" s="647">
        <f>Posebni!I65</f>
        <v>7534.5</v>
      </c>
      <c r="Q183" s="16">
        <f>Posebni!J65</f>
        <v>1000</v>
      </c>
      <c r="R183" s="647">
        <f>Q183*7.5345</f>
        <v>7534.5</v>
      </c>
      <c r="S183" s="16">
        <f>Posebni!L65</f>
        <v>1000</v>
      </c>
      <c r="T183" s="647">
        <f>S183*7.5345</f>
        <v>7534.5</v>
      </c>
      <c r="U183" s="48">
        <f t="shared" si="210"/>
        <v>100</v>
      </c>
      <c r="V183" s="700">
        <f t="shared" si="211"/>
        <v>100</v>
      </c>
    </row>
    <row r="184" spans="1:22" hidden="1" x14ac:dyDescent="0.25">
      <c r="A184" s="506"/>
      <c r="B184" s="359"/>
      <c r="C184" s="359"/>
      <c r="D184" s="359"/>
      <c r="E184" s="359"/>
      <c r="F184" s="359"/>
      <c r="G184" s="359"/>
      <c r="H184" s="25">
        <v>4227</v>
      </c>
      <c r="I184" s="15" t="s">
        <v>102</v>
      </c>
      <c r="J184" s="16">
        <v>0</v>
      </c>
      <c r="K184" s="16">
        <v>35000</v>
      </c>
      <c r="L184" s="16">
        <v>35000</v>
      </c>
      <c r="M184" s="16" t="e">
        <f>Posebni!F66+Posebni!#REF!</f>
        <v>#REF!</v>
      </c>
      <c r="N184" s="16" t="e">
        <f>Posebni!G66+Posebni!#REF!</f>
        <v>#REF!</v>
      </c>
      <c r="O184" s="16">
        <f>Posebni!H66</f>
        <v>30000</v>
      </c>
      <c r="P184" s="647" t="e">
        <f>Posebni!I66+Posebni!#REF!</f>
        <v>#REF!</v>
      </c>
      <c r="Q184" s="16">
        <f>Posebni!J66</f>
        <v>2000</v>
      </c>
      <c r="R184" s="647">
        <f>Q184*7.5345</f>
        <v>15069</v>
      </c>
      <c r="S184" s="16">
        <f>Posebni!L66</f>
        <v>2000</v>
      </c>
      <c r="T184" s="647">
        <f>S184*7.5345</f>
        <v>15069</v>
      </c>
      <c r="U184" s="48">
        <f t="shared" si="210"/>
        <v>6.666666666666667</v>
      </c>
      <c r="V184" s="700">
        <f t="shared" si="211"/>
        <v>100</v>
      </c>
    </row>
    <row r="185" spans="1:22" s="1" customFormat="1" hidden="1" x14ac:dyDescent="0.25">
      <c r="A185" s="506"/>
      <c r="B185" s="359"/>
      <c r="C185" s="359"/>
      <c r="D185" s="359"/>
      <c r="E185" s="359"/>
      <c r="F185" s="359"/>
      <c r="G185" s="359"/>
      <c r="H185" s="24">
        <v>426</v>
      </c>
      <c r="I185" s="8" t="s">
        <v>117</v>
      </c>
      <c r="J185" s="12">
        <f>SUM(J186:J187)</f>
        <v>0</v>
      </c>
      <c r="K185" s="12">
        <f>SUM(K186:K187)</f>
        <v>105000</v>
      </c>
      <c r="L185" s="12">
        <f>SUM(L186:L187)</f>
        <v>5000</v>
      </c>
      <c r="M185" s="12" t="e">
        <f t="shared" ref="M185:T185" si="215">SUM(M186:M188)</f>
        <v>#REF!</v>
      </c>
      <c r="N185" s="12" t="e">
        <f t="shared" si="215"/>
        <v>#REF!</v>
      </c>
      <c r="O185" s="12">
        <f t="shared" si="215"/>
        <v>51500</v>
      </c>
      <c r="P185" s="626">
        <f t="shared" si="215"/>
        <v>26370.75</v>
      </c>
      <c r="Q185" s="12">
        <f t="shared" si="215"/>
        <v>4500</v>
      </c>
      <c r="R185" s="626">
        <f t="shared" si="215"/>
        <v>33905.25</v>
      </c>
      <c r="S185" s="12">
        <f t="shared" si="215"/>
        <v>4500</v>
      </c>
      <c r="T185" s="626">
        <f t="shared" si="215"/>
        <v>33905.25</v>
      </c>
      <c r="U185" s="48">
        <f t="shared" si="210"/>
        <v>8.7378640776699026</v>
      </c>
      <c r="V185" s="700">
        <f t="shared" si="211"/>
        <v>100</v>
      </c>
    </row>
    <row r="186" spans="1:22" hidden="1" x14ac:dyDescent="0.25">
      <c r="A186" s="506"/>
      <c r="B186" s="359"/>
      <c r="C186" s="359"/>
      <c r="D186" s="359"/>
      <c r="E186" s="359"/>
      <c r="F186" s="359"/>
      <c r="G186" s="359"/>
      <c r="H186" s="25">
        <v>4262</v>
      </c>
      <c r="I186" s="15" t="s">
        <v>113</v>
      </c>
      <c r="J186" s="16">
        <v>0</v>
      </c>
      <c r="K186" s="16">
        <v>5000</v>
      </c>
      <c r="L186" s="16">
        <v>5000</v>
      </c>
      <c r="M186" s="16">
        <f>Posebni!F72</f>
        <v>20000</v>
      </c>
      <c r="N186" s="16">
        <f>Posebni!G72</f>
        <v>2654.4561682925209</v>
      </c>
      <c r="O186" s="16">
        <f>Posebni!H72</f>
        <v>2000</v>
      </c>
      <c r="P186" s="647">
        <f>Posebni!I72</f>
        <v>15069</v>
      </c>
      <c r="Q186" s="16">
        <f>Posebni!J72</f>
        <v>3000</v>
      </c>
      <c r="R186" s="647">
        <f>Q186*7.5345</f>
        <v>22603.5</v>
      </c>
      <c r="S186" s="16">
        <f>Posebni!L72</f>
        <v>3000</v>
      </c>
      <c r="T186" s="647">
        <f>S186*7.5345</f>
        <v>22603.5</v>
      </c>
      <c r="U186" s="48">
        <f t="shared" si="210"/>
        <v>150</v>
      </c>
      <c r="V186" s="700">
        <f t="shared" si="211"/>
        <v>100</v>
      </c>
    </row>
    <row r="187" spans="1:22" hidden="1" x14ac:dyDescent="0.25">
      <c r="A187" s="506"/>
      <c r="B187" s="359"/>
      <c r="C187" s="359"/>
      <c r="D187" s="359"/>
      <c r="E187" s="359"/>
      <c r="F187" s="359"/>
      <c r="G187" s="359"/>
      <c r="H187" s="25">
        <v>4263</v>
      </c>
      <c r="I187" s="15" t="s">
        <v>473</v>
      </c>
      <c r="J187" s="16">
        <v>0</v>
      </c>
      <c r="K187" s="16">
        <v>100000</v>
      </c>
      <c r="L187" s="16">
        <v>0</v>
      </c>
      <c r="M187" s="16">
        <v>0</v>
      </c>
      <c r="N187" s="16">
        <v>0</v>
      </c>
      <c r="O187" s="16">
        <f>Posebni!H523+Posebni!H524+Posebni!H530+Posebni!H531</f>
        <v>48000</v>
      </c>
      <c r="P187" s="16">
        <f>Posebni!I523+Posebni!I524+Posebni!I530+Posebni!I531</f>
        <v>0</v>
      </c>
      <c r="Q187" s="16">
        <f>Posebni!J523+Posebni!J524+Posebni!J530+Posebni!J531</f>
        <v>0</v>
      </c>
      <c r="R187" s="16">
        <f>Posebni!K523+Posebni!K524+Posebni!K530+Posebni!K531</f>
        <v>0</v>
      </c>
      <c r="S187" s="16">
        <f>Posebni!L523+Posebni!L524+Posebni!L530+Posebni!L531</f>
        <v>0</v>
      </c>
      <c r="T187" s="647">
        <f>S187*7.5345</f>
        <v>0</v>
      </c>
      <c r="U187" s="48">
        <v>0</v>
      </c>
      <c r="V187" s="700">
        <v>0</v>
      </c>
    </row>
    <row r="188" spans="1:22" hidden="1" x14ac:dyDescent="0.25">
      <c r="A188" s="506"/>
      <c r="B188" s="359"/>
      <c r="C188" s="359"/>
      <c r="D188" s="359"/>
      <c r="E188" s="359"/>
      <c r="F188" s="359"/>
      <c r="G188" s="359"/>
      <c r="H188" s="25">
        <v>4264</v>
      </c>
      <c r="I188" s="15" t="s">
        <v>387</v>
      </c>
      <c r="J188" s="16"/>
      <c r="K188" s="16"/>
      <c r="L188" s="16"/>
      <c r="M188" s="16" t="e">
        <f>Posebni!F217+Posebni!#REF!</f>
        <v>#REF!</v>
      </c>
      <c r="N188" s="16" t="e">
        <f>Posebni!G217+Posebni!#REF!</f>
        <v>#REF!</v>
      </c>
      <c r="O188" s="16">
        <f>Posebni!H217</f>
        <v>1500</v>
      </c>
      <c r="P188" s="16">
        <f>Posebni!I217</f>
        <v>11301.75</v>
      </c>
      <c r="Q188" s="16">
        <f>Posebni!J217</f>
        <v>1500</v>
      </c>
      <c r="R188" s="16">
        <f>Posebni!K217</f>
        <v>11301.75</v>
      </c>
      <c r="S188" s="16">
        <f>Posebni!L217</f>
        <v>1500</v>
      </c>
      <c r="T188" s="647">
        <f>S188*7.5345</f>
        <v>11301.75</v>
      </c>
      <c r="U188" s="48">
        <v>0</v>
      </c>
      <c r="V188" s="700">
        <v>0</v>
      </c>
    </row>
    <row r="189" spans="1:22" s="85" customFormat="1" x14ac:dyDescent="0.25">
      <c r="A189" s="507"/>
      <c r="B189" s="369"/>
      <c r="C189" s="369"/>
      <c r="D189" s="369"/>
      <c r="E189" s="369"/>
      <c r="F189" s="369"/>
      <c r="G189" s="369"/>
      <c r="H189" s="86">
        <v>45</v>
      </c>
      <c r="I189" s="90" t="s">
        <v>363</v>
      </c>
      <c r="J189" s="88">
        <f t="shared" ref="J189:P189" si="216">SUM(J190+J192)</f>
        <v>0</v>
      </c>
      <c r="K189" s="88">
        <f t="shared" si="216"/>
        <v>0</v>
      </c>
      <c r="L189" s="88">
        <f t="shared" si="216"/>
        <v>0</v>
      </c>
      <c r="M189" s="88" t="e">
        <f t="shared" si="216"/>
        <v>#REF!</v>
      </c>
      <c r="N189" s="88" t="e">
        <f t="shared" si="216"/>
        <v>#REF!</v>
      </c>
      <c r="O189" s="88">
        <f t="shared" si="216"/>
        <v>96500</v>
      </c>
      <c r="P189" s="648" t="e">
        <f t="shared" si="216"/>
        <v>#REF!</v>
      </c>
      <c r="Q189" s="88">
        <f t="shared" ref="Q189:T189" si="217">SUM(Q190+Q192)</f>
        <v>150000</v>
      </c>
      <c r="R189" s="648" t="e">
        <f t="shared" ref="R189" si="218">SUM(R190+R192)</f>
        <v>#REF!</v>
      </c>
      <c r="S189" s="88">
        <f t="shared" si="217"/>
        <v>0</v>
      </c>
      <c r="T189" s="648">
        <f t="shared" si="217"/>
        <v>0</v>
      </c>
      <c r="U189" s="82">
        <f>Q189/O189*100</f>
        <v>155.440414507772</v>
      </c>
      <c r="V189" s="699">
        <f>S189/Q189*100</f>
        <v>0</v>
      </c>
    </row>
    <row r="190" spans="1:22" s="1" customFormat="1" hidden="1" x14ac:dyDescent="0.25">
      <c r="A190" s="506"/>
      <c r="B190" s="359"/>
      <c r="C190" s="359"/>
      <c r="D190" s="359" t="s">
        <v>366</v>
      </c>
      <c r="E190" s="359"/>
      <c r="F190" s="359"/>
      <c r="G190" s="359"/>
      <c r="H190" s="24">
        <v>451</v>
      </c>
      <c r="I190" s="8" t="s">
        <v>162</v>
      </c>
      <c r="J190" s="12">
        <f>SUM(J191:J191)</f>
        <v>0</v>
      </c>
      <c r="K190" s="12">
        <f>SUM(K191:K191)</f>
        <v>0</v>
      </c>
      <c r="L190" s="12">
        <f>SUM(L191:L191)</f>
        <v>0</v>
      </c>
      <c r="M190" s="12" t="e">
        <f t="shared" ref="M190:T190" si="219">SUM(M191)</f>
        <v>#REF!</v>
      </c>
      <c r="N190" s="12" t="e">
        <f t="shared" si="219"/>
        <v>#REF!</v>
      </c>
      <c r="O190" s="12">
        <f t="shared" si="219"/>
        <v>50000</v>
      </c>
      <c r="P190" s="626" t="e">
        <f t="shared" si="219"/>
        <v>#REF!</v>
      </c>
      <c r="Q190" s="12">
        <f t="shared" si="219"/>
        <v>150000</v>
      </c>
      <c r="R190" s="626" t="e">
        <f t="shared" si="219"/>
        <v>#REF!</v>
      </c>
      <c r="S190" s="12">
        <f t="shared" si="219"/>
        <v>0</v>
      </c>
      <c r="T190" s="626">
        <f t="shared" si="219"/>
        <v>0</v>
      </c>
      <c r="U190" s="48">
        <f t="shared" ref="U190:U191" si="220">Q190/O190*100</f>
        <v>300</v>
      </c>
      <c r="V190" s="700">
        <f t="shared" ref="V190:V191" si="221">S190/Q190*100</f>
        <v>0</v>
      </c>
    </row>
    <row r="191" spans="1:22" hidden="1" x14ac:dyDescent="0.25">
      <c r="A191" s="506"/>
      <c r="B191" s="359"/>
      <c r="C191" s="359"/>
      <c r="D191" s="359"/>
      <c r="E191" s="359"/>
      <c r="F191" s="359"/>
      <c r="G191" s="359"/>
      <c r="H191" s="25">
        <v>4511</v>
      </c>
      <c r="I191" s="15" t="s">
        <v>103</v>
      </c>
      <c r="J191" s="16">
        <v>0</v>
      </c>
      <c r="K191" s="16">
        <v>0</v>
      </c>
      <c r="L191" s="16">
        <v>0</v>
      </c>
      <c r="M191" s="16" t="e">
        <f>Posebni!#REF!+Posebni!#REF!</f>
        <v>#REF!</v>
      </c>
      <c r="N191" s="16" t="e">
        <f>Posebni!#REF!+Posebni!#REF!</f>
        <v>#REF!</v>
      </c>
      <c r="O191" s="16">
        <f>Posebni!H365+Posebni!H366</f>
        <v>50000</v>
      </c>
      <c r="P191" s="16" t="e">
        <f>Posebni!#REF!+Posebni!I365+Posebni!I366+Posebni!#REF!+Posebni!#REF!</f>
        <v>#REF!</v>
      </c>
      <c r="Q191" s="16">
        <f>Posebni!J365+Posebni!J366</f>
        <v>150000</v>
      </c>
      <c r="R191" s="16" t="e">
        <f>Posebni!#REF!+Posebni!K365+Posebni!K366+Posebni!#REF!+Posebni!#REF!</f>
        <v>#REF!</v>
      </c>
      <c r="S191" s="16">
        <f>Posebni!L365+Posebni!L366</f>
        <v>0</v>
      </c>
      <c r="T191" s="647">
        <f>S191*7.5345</f>
        <v>0</v>
      </c>
      <c r="U191" s="48">
        <f t="shared" si="220"/>
        <v>300</v>
      </c>
      <c r="V191" s="700">
        <f t="shared" si="221"/>
        <v>0</v>
      </c>
    </row>
    <row r="192" spans="1:22" s="1" customFormat="1" hidden="1" x14ac:dyDescent="0.25">
      <c r="A192" s="506"/>
      <c r="B192" s="359"/>
      <c r="C192" s="359"/>
      <c r="D192" s="359"/>
      <c r="E192" s="359"/>
      <c r="F192" s="359"/>
      <c r="G192" s="359"/>
      <c r="H192" s="24">
        <v>454</v>
      </c>
      <c r="I192" s="5" t="s">
        <v>622</v>
      </c>
      <c r="J192" s="12">
        <f t="shared" ref="J192:T192" si="222">SUM(J193)</f>
        <v>0</v>
      </c>
      <c r="K192" s="12">
        <f t="shared" si="222"/>
        <v>0</v>
      </c>
      <c r="L192" s="12">
        <f t="shared" si="222"/>
        <v>0</v>
      </c>
      <c r="M192" s="12">
        <f t="shared" si="222"/>
        <v>0</v>
      </c>
      <c r="N192" s="12">
        <f t="shared" si="222"/>
        <v>0</v>
      </c>
      <c r="O192" s="12">
        <f t="shared" si="222"/>
        <v>46500</v>
      </c>
      <c r="P192" s="626">
        <f t="shared" si="222"/>
        <v>350354.25</v>
      </c>
      <c r="Q192" s="12">
        <f t="shared" si="222"/>
        <v>0</v>
      </c>
      <c r="R192" s="626">
        <f t="shared" si="222"/>
        <v>0</v>
      </c>
      <c r="S192" s="12">
        <f t="shared" si="222"/>
        <v>0</v>
      </c>
      <c r="T192" s="626">
        <f t="shared" si="222"/>
        <v>0</v>
      </c>
      <c r="U192" s="48">
        <v>0</v>
      </c>
      <c r="V192" s="700">
        <v>0</v>
      </c>
    </row>
    <row r="193" spans="1:22" ht="14.4" hidden="1" customHeight="1" x14ac:dyDescent="0.25">
      <c r="A193" s="509"/>
      <c r="B193" s="374"/>
      <c r="C193" s="374"/>
      <c r="D193" s="374"/>
      <c r="E193" s="374"/>
      <c r="F193" s="374"/>
      <c r="G193" s="374"/>
      <c r="H193" s="375">
        <v>4541</v>
      </c>
      <c r="I193" s="376" t="s">
        <v>622</v>
      </c>
      <c r="J193" s="377">
        <v>0</v>
      </c>
      <c r="K193" s="377">
        <v>0</v>
      </c>
      <c r="L193" s="377">
        <v>0</v>
      </c>
      <c r="M193" s="377">
        <v>0</v>
      </c>
      <c r="N193" s="377">
        <v>0</v>
      </c>
      <c r="O193" s="377">
        <f>Posebni!H470+Posebni!H471</f>
        <v>46500</v>
      </c>
      <c r="P193" s="377">
        <f>Posebni!I470+Posebni!I471</f>
        <v>350354.25</v>
      </c>
      <c r="Q193" s="377">
        <f>Posebni!J470+Posebni!J471</f>
        <v>0</v>
      </c>
      <c r="R193" s="377">
        <f>Posebni!K470+Posebni!K471</f>
        <v>0</v>
      </c>
      <c r="S193" s="377">
        <f>Posebni!L470+Posebni!L471</f>
        <v>0</v>
      </c>
      <c r="T193" s="834">
        <v>0</v>
      </c>
      <c r="U193" s="835">
        <v>0</v>
      </c>
      <c r="V193" s="836">
        <v>0</v>
      </c>
    </row>
    <row r="194" spans="1:22" x14ac:dyDescent="0.25">
      <c r="A194" s="512"/>
      <c r="B194" s="366"/>
      <c r="C194" s="366"/>
      <c r="D194" s="366"/>
      <c r="E194" s="366"/>
      <c r="F194" s="366"/>
      <c r="G194" s="366"/>
      <c r="H194" s="18"/>
      <c r="I194" s="19"/>
      <c r="J194" s="20"/>
      <c r="K194" s="20"/>
      <c r="L194" s="20"/>
      <c r="M194" s="20"/>
      <c r="N194" s="20"/>
      <c r="O194" s="20"/>
      <c r="P194" s="637"/>
      <c r="Q194" s="20"/>
      <c r="R194" s="637"/>
      <c r="S194" s="20"/>
      <c r="T194" s="637"/>
      <c r="U194" s="373"/>
      <c r="V194" s="51"/>
    </row>
    <row r="195" spans="1:22" s="42" customFormat="1" ht="13.8" thickBot="1" x14ac:dyDescent="0.3">
      <c r="A195" s="549"/>
      <c r="B195" s="550"/>
      <c r="C195" s="550"/>
      <c r="D195" s="550"/>
      <c r="E195" s="550"/>
      <c r="F195" s="550"/>
      <c r="G195" s="550"/>
      <c r="H195" s="29" t="s">
        <v>5</v>
      </c>
      <c r="I195" s="551"/>
      <c r="J195" s="552"/>
      <c r="K195" s="552"/>
      <c r="L195" s="552"/>
      <c r="M195" s="552"/>
      <c r="N195" s="552"/>
      <c r="O195" s="159"/>
      <c r="P195" s="638"/>
      <c r="Q195" s="159"/>
      <c r="R195" s="638"/>
      <c r="S195" s="159"/>
      <c r="T195" s="638"/>
      <c r="V195" s="553"/>
    </row>
    <row r="196" spans="1:22" s="69" customFormat="1" x14ac:dyDescent="0.25">
      <c r="A196" s="513"/>
      <c r="B196" s="371"/>
      <c r="C196" s="371"/>
      <c r="D196" s="371"/>
      <c r="E196" s="371"/>
      <c r="F196" s="371"/>
      <c r="G196" s="371"/>
      <c r="H196" s="64">
        <v>8</v>
      </c>
      <c r="I196" s="65" t="s">
        <v>6</v>
      </c>
      <c r="J196" s="66">
        <f t="shared" ref="J196:M196" si="223">SUM(J197+J200)</f>
        <v>2721893</v>
      </c>
      <c r="K196" s="66">
        <f t="shared" si="223"/>
        <v>0</v>
      </c>
      <c r="L196" s="66">
        <f t="shared" si="223"/>
        <v>0</v>
      </c>
      <c r="M196" s="66">
        <f t="shared" si="223"/>
        <v>0</v>
      </c>
      <c r="N196" s="66">
        <f t="shared" ref="N196:O196" si="224">SUM(N197+N200)</f>
        <v>0</v>
      </c>
      <c r="O196" s="678">
        <f t="shared" si="224"/>
        <v>0</v>
      </c>
      <c r="P196" s="639">
        <f t="shared" ref="P196:R196" si="225">SUM(P197+P200)</f>
        <v>0</v>
      </c>
      <c r="Q196" s="678">
        <f t="shared" si="225"/>
        <v>0</v>
      </c>
      <c r="R196" s="639">
        <f t="shared" si="225"/>
        <v>0</v>
      </c>
      <c r="S196" s="678">
        <f t="shared" ref="S196:T196" si="226">SUM(S197+S200)</f>
        <v>0</v>
      </c>
      <c r="T196" s="639">
        <f t="shared" si="226"/>
        <v>0</v>
      </c>
      <c r="U196" s="67">
        <v>0</v>
      </c>
      <c r="V196" s="68">
        <v>0</v>
      </c>
    </row>
    <row r="197" spans="1:22" s="85" customFormat="1" x14ac:dyDescent="0.25">
      <c r="A197" s="507"/>
      <c r="B197" s="369"/>
      <c r="C197" s="369"/>
      <c r="D197" s="369"/>
      <c r="E197" s="369"/>
      <c r="F197" s="369"/>
      <c r="G197" s="369"/>
      <c r="H197" s="91">
        <v>81</v>
      </c>
      <c r="I197" s="87" t="s">
        <v>122</v>
      </c>
      <c r="J197" s="88">
        <f>SUM(J198)</f>
        <v>0</v>
      </c>
      <c r="K197" s="88">
        <f t="shared" ref="K197:T198" si="227">SUM(K198)</f>
        <v>0</v>
      </c>
      <c r="L197" s="88">
        <f t="shared" si="227"/>
        <v>0</v>
      </c>
      <c r="M197" s="88">
        <f t="shared" si="227"/>
        <v>0</v>
      </c>
      <c r="N197" s="88">
        <f t="shared" si="227"/>
        <v>0</v>
      </c>
      <c r="O197" s="88">
        <f t="shared" si="227"/>
        <v>0</v>
      </c>
      <c r="P197" s="634">
        <f t="shared" si="227"/>
        <v>0</v>
      </c>
      <c r="Q197" s="88">
        <f t="shared" si="227"/>
        <v>0</v>
      </c>
      <c r="R197" s="634">
        <f t="shared" si="227"/>
        <v>0</v>
      </c>
      <c r="S197" s="88">
        <f t="shared" si="227"/>
        <v>0</v>
      </c>
      <c r="T197" s="634">
        <f t="shared" si="227"/>
        <v>0</v>
      </c>
      <c r="U197" s="83">
        <v>0</v>
      </c>
      <c r="V197" s="84">
        <v>0</v>
      </c>
    </row>
    <row r="198" spans="1:22" s="1" customFormat="1" ht="21" hidden="1" x14ac:dyDescent="0.25">
      <c r="A198" s="506"/>
      <c r="B198" s="359"/>
      <c r="C198" s="359"/>
      <c r="D198" s="359"/>
      <c r="E198" s="359"/>
      <c r="F198" s="359"/>
      <c r="G198" s="359"/>
      <c r="H198" s="350">
        <v>815</v>
      </c>
      <c r="I198" s="8" t="s">
        <v>163</v>
      </c>
      <c r="J198" s="12">
        <f>SUM(J199)</f>
        <v>0</v>
      </c>
      <c r="K198" s="12">
        <f t="shared" si="227"/>
        <v>0</v>
      </c>
      <c r="L198" s="12">
        <f t="shared" si="227"/>
        <v>0</v>
      </c>
      <c r="M198" s="12">
        <f t="shared" si="227"/>
        <v>0</v>
      </c>
      <c r="N198" s="12">
        <f t="shared" si="227"/>
        <v>0</v>
      </c>
      <c r="O198" s="12">
        <f t="shared" si="227"/>
        <v>0</v>
      </c>
      <c r="P198" s="633">
        <f t="shared" si="227"/>
        <v>0</v>
      </c>
      <c r="Q198" s="12">
        <f t="shared" si="227"/>
        <v>0</v>
      </c>
      <c r="R198" s="633">
        <f t="shared" si="227"/>
        <v>0</v>
      </c>
      <c r="S198" s="12">
        <f t="shared" si="227"/>
        <v>0</v>
      </c>
      <c r="T198" s="633">
        <f t="shared" si="227"/>
        <v>0</v>
      </c>
      <c r="U198" s="49">
        <v>0</v>
      </c>
      <c r="V198" s="50"/>
    </row>
    <row r="199" spans="1:22" s="2" customFormat="1" hidden="1" x14ac:dyDescent="0.25">
      <c r="A199" s="506"/>
      <c r="B199" s="359"/>
      <c r="C199" s="359"/>
      <c r="D199" s="359"/>
      <c r="E199" s="359"/>
      <c r="F199" s="359"/>
      <c r="G199" s="359"/>
      <c r="H199" s="37">
        <v>8151</v>
      </c>
      <c r="I199" s="47" t="s">
        <v>123</v>
      </c>
      <c r="J199" s="16">
        <v>0</v>
      </c>
      <c r="K199" s="16">
        <v>0</v>
      </c>
      <c r="L199" s="16">
        <v>0</v>
      </c>
      <c r="M199" s="16">
        <v>0</v>
      </c>
      <c r="N199" s="16">
        <v>0</v>
      </c>
      <c r="O199" s="16">
        <v>0</v>
      </c>
      <c r="P199" s="624">
        <v>0</v>
      </c>
      <c r="Q199" s="16">
        <v>0</v>
      </c>
      <c r="R199" s="624">
        <v>0</v>
      </c>
      <c r="S199" s="16">
        <v>0</v>
      </c>
      <c r="T199" s="624">
        <v>0</v>
      </c>
      <c r="U199" s="49">
        <v>0</v>
      </c>
      <c r="V199" s="50"/>
    </row>
    <row r="200" spans="1:22" s="85" customFormat="1" x14ac:dyDescent="0.25">
      <c r="A200" s="507"/>
      <c r="B200" s="369"/>
      <c r="C200" s="369"/>
      <c r="D200" s="369"/>
      <c r="E200" s="369"/>
      <c r="F200" s="369"/>
      <c r="G200" s="369"/>
      <c r="H200" s="91">
        <v>84</v>
      </c>
      <c r="I200" s="87" t="s">
        <v>104</v>
      </c>
      <c r="J200" s="88">
        <f t="shared" ref="J200:T201" si="228">SUM(J201)</f>
        <v>2721893</v>
      </c>
      <c r="K200" s="88">
        <f t="shared" si="228"/>
        <v>0</v>
      </c>
      <c r="L200" s="88">
        <f t="shared" si="228"/>
        <v>0</v>
      </c>
      <c r="M200" s="88">
        <f t="shared" si="228"/>
        <v>0</v>
      </c>
      <c r="N200" s="88">
        <f t="shared" si="228"/>
        <v>0</v>
      </c>
      <c r="O200" s="88">
        <f t="shared" si="228"/>
        <v>0</v>
      </c>
      <c r="P200" s="634">
        <f t="shared" si="228"/>
        <v>0</v>
      </c>
      <c r="Q200" s="88">
        <f t="shared" si="228"/>
        <v>0</v>
      </c>
      <c r="R200" s="634">
        <f t="shared" si="228"/>
        <v>0</v>
      </c>
      <c r="S200" s="88">
        <f t="shared" si="228"/>
        <v>0</v>
      </c>
      <c r="T200" s="634">
        <f t="shared" si="228"/>
        <v>0</v>
      </c>
      <c r="U200" s="83">
        <v>0</v>
      </c>
      <c r="V200" s="84">
        <v>0</v>
      </c>
    </row>
    <row r="201" spans="1:22" s="1" customFormat="1" ht="21" hidden="1" x14ac:dyDescent="0.25">
      <c r="A201" s="506"/>
      <c r="B201" s="359"/>
      <c r="C201" s="359"/>
      <c r="D201" s="359"/>
      <c r="E201" s="359"/>
      <c r="F201" s="359"/>
      <c r="G201" s="359"/>
      <c r="H201" s="350">
        <v>844</v>
      </c>
      <c r="I201" s="8" t="s">
        <v>115</v>
      </c>
      <c r="J201" s="12">
        <f t="shared" si="228"/>
        <v>2721893</v>
      </c>
      <c r="K201" s="12">
        <f t="shared" si="228"/>
        <v>0</v>
      </c>
      <c r="L201" s="12">
        <f t="shared" si="228"/>
        <v>0</v>
      </c>
      <c r="M201" s="12">
        <f t="shared" si="228"/>
        <v>0</v>
      </c>
      <c r="N201" s="12">
        <f t="shared" si="228"/>
        <v>0</v>
      </c>
      <c r="O201" s="12">
        <f t="shared" si="228"/>
        <v>0</v>
      </c>
      <c r="P201" s="633">
        <f t="shared" si="228"/>
        <v>0</v>
      </c>
      <c r="Q201" s="12">
        <f t="shared" si="228"/>
        <v>0</v>
      </c>
      <c r="R201" s="633">
        <f t="shared" si="228"/>
        <v>0</v>
      </c>
      <c r="S201" s="12">
        <f t="shared" si="228"/>
        <v>0</v>
      </c>
      <c r="T201" s="633">
        <f t="shared" si="228"/>
        <v>0</v>
      </c>
      <c r="U201" s="49">
        <v>0</v>
      </c>
      <c r="V201" s="50"/>
    </row>
    <row r="202" spans="1:22" s="2" customFormat="1" ht="21" hidden="1" x14ac:dyDescent="0.25">
      <c r="A202" s="506"/>
      <c r="B202" s="359"/>
      <c r="C202" s="359"/>
      <c r="D202" s="359"/>
      <c r="E202" s="359"/>
      <c r="F202" s="359"/>
      <c r="G202" s="359"/>
      <c r="H202" s="37">
        <v>8443</v>
      </c>
      <c r="I202" s="15" t="s">
        <v>116</v>
      </c>
      <c r="J202" s="16">
        <v>2721893</v>
      </c>
      <c r="K202" s="16">
        <v>0</v>
      </c>
      <c r="L202" s="16">
        <v>0</v>
      </c>
      <c r="M202" s="16"/>
      <c r="N202" s="16"/>
      <c r="O202" s="16"/>
      <c r="P202" s="624"/>
      <c r="Q202" s="16"/>
      <c r="R202" s="624"/>
      <c r="S202" s="16"/>
      <c r="T202" s="624"/>
      <c r="U202" s="49">
        <v>0</v>
      </c>
      <c r="V202" s="50"/>
    </row>
    <row r="203" spans="1:22" s="63" customFormat="1" ht="13.8" thickBot="1" x14ac:dyDescent="0.3">
      <c r="A203" s="510"/>
      <c r="B203" s="370"/>
      <c r="C203" s="370"/>
      <c r="D203" s="370"/>
      <c r="E203" s="370"/>
      <c r="F203" s="370"/>
      <c r="G203" s="370"/>
      <c r="H203" s="70">
        <v>5</v>
      </c>
      <c r="I203" s="71" t="s">
        <v>164</v>
      </c>
      <c r="J203" s="62">
        <f t="shared" ref="J203:M203" si="229">SUM(J204,J207)</f>
        <v>0</v>
      </c>
      <c r="K203" s="62">
        <f t="shared" si="229"/>
        <v>0</v>
      </c>
      <c r="L203" s="62">
        <f t="shared" si="229"/>
        <v>0</v>
      </c>
      <c r="M203" s="62" t="e">
        <f t="shared" si="229"/>
        <v>#REF!</v>
      </c>
      <c r="N203" s="62" t="e">
        <f t="shared" ref="N203:O203" si="230">SUM(N204,N207)</f>
        <v>#REF!</v>
      </c>
      <c r="O203" s="62">
        <f t="shared" si="230"/>
        <v>0</v>
      </c>
      <c r="P203" s="636" t="e">
        <f t="shared" ref="P203:R203" si="231">SUM(P204,P207)</f>
        <v>#REF!</v>
      </c>
      <c r="Q203" s="62">
        <f t="shared" si="231"/>
        <v>0</v>
      </c>
      <c r="R203" s="636" t="e">
        <f t="shared" si="231"/>
        <v>#REF!</v>
      </c>
      <c r="S203" s="62">
        <f t="shared" ref="S203:T203" si="232">SUM(S204,S207)</f>
        <v>0</v>
      </c>
      <c r="T203" s="636" t="e">
        <f t="shared" si="232"/>
        <v>#REF!</v>
      </c>
      <c r="U203" s="72">
        <v>0</v>
      </c>
      <c r="V203" s="73">
        <v>0</v>
      </c>
    </row>
    <row r="204" spans="1:22" s="85" customFormat="1" x14ac:dyDescent="0.25">
      <c r="A204" s="505"/>
      <c r="B204" s="368"/>
      <c r="C204" s="368"/>
      <c r="D204" s="368"/>
      <c r="E204" s="368"/>
      <c r="F204" s="368"/>
      <c r="G204" s="368"/>
      <c r="H204" s="92">
        <v>51</v>
      </c>
      <c r="I204" s="80" t="s">
        <v>124</v>
      </c>
      <c r="J204" s="81">
        <f t="shared" ref="J204:T205" si="233">SUM(J205)</f>
        <v>0</v>
      </c>
      <c r="K204" s="81">
        <f t="shared" si="233"/>
        <v>0</v>
      </c>
      <c r="L204" s="81">
        <f t="shared" si="233"/>
        <v>0</v>
      </c>
      <c r="M204" s="81">
        <f t="shared" si="233"/>
        <v>0</v>
      </c>
      <c r="N204" s="81">
        <f t="shared" si="233"/>
        <v>0</v>
      </c>
      <c r="O204" s="81">
        <f t="shared" si="233"/>
        <v>0</v>
      </c>
      <c r="P204" s="632">
        <f t="shared" si="233"/>
        <v>0</v>
      </c>
      <c r="Q204" s="81">
        <f t="shared" si="233"/>
        <v>0</v>
      </c>
      <c r="R204" s="632">
        <f t="shared" si="233"/>
        <v>0</v>
      </c>
      <c r="S204" s="81">
        <f t="shared" si="233"/>
        <v>0</v>
      </c>
      <c r="T204" s="632">
        <f t="shared" si="233"/>
        <v>0</v>
      </c>
      <c r="U204" s="83">
        <v>0</v>
      </c>
      <c r="V204" s="84">
        <v>0</v>
      </c>
    </row>
    <row r="205" spans="1:22" s="2" customFormat="1" hidden="1" x14ac:dyDescent="0.25">
      <c r="A205" s="506"/>
      <c r="B205" s="359"/>
      <c r="C205" s="359"/>
      <c r="D205" s="359"/>
      <c r="E205" s="359"/>
      <c r="F205" s="359"/>
      <c r="G205" s="359"/>
      <c r="H205" s="350">
        <v>515</v>
      </c>
      <c r="I205" s="5" t="s">
        <v>125</v>
      </c>
      <c r="J205" s="12">
        <f t="shared" si="233"/>
        <v>0</v>
      </c>
      <c r="K205" s="12">
        <f t="shared" si="233"/>
        <v>0</v>
      </c>
      <c r="L205" s="12">
        <f t="shared" si="233"/>
        <v>0</v>
      </c>
      <c r="M205" s="12">
        <f t="shared" si="233"/>
        <v>0</v>
      </c>
      <c r="N205" s="12">
        <f t="shared" si="233"/>
        <v>0</v>
      </c>
      <c r="O205" s="12">
        <f t="shared" si="233"/>
        <v>0</v>
      </c>
      <c r="P205" s="633">
        <f t="shared" si="233"/>
        <v>0</v>
      </c>
      <c r="Q205" s="12">
        <f t="shared" si="233"/>
        <v>0</v>
      </c>
      <c r="R205" s="633">
        <f t="shared" si="233"/>
        <v>0</v>
      </c>
      <c r="S205" s="12">
        <f t="shared" si="233"/>
        <v>0</v>
      </c>
      <c r="T205" s="633">
        <f t="shared" si="233"/>
        <v>0</v>
      </c>
      <c r="U205" s="49">
        <v>0</v>
      </c>
      <c r="V205" s="50"/>
    </row>
    <row r="206" spans="1:22" s="2" customFormat="1" hidden="1" x14ac:dyDescent="0.25">
      <c r="A206" s="506"/>
      <c r="B206" s="359"/>
      <c r="C206" s="359"/>
      <c r="D206" s="359"/>
      <c r="E206" s="359"/>
      <c r="F206" s="359"/>
      <c r="G206" s="359"/>
      <c r="H206" s="37">
        <v>5151</v>
      </c>
      <c r="I206" s="15" t="s">
        <v>126</v>
      </c>
      <c r="J206" s="16">
        <v>0</v>
      </c>
      <c r="K206" s="16">
        <v>0</v>
      </c>
      <c r="L206" s="16">
        <v>0</v>
      </c>
      <c r="M206" s="16">
        <v>0</v>
      </c>
      <c r="N206" s="16">
        <v>0</v>
      </c>
      <c r="O206" s="16">
        <v>0</v>
      </c>
      <c r="P206" s="624">
        <v>0</v>
      </c>
      <c r="Q206" s="16">
        <v>0</v>
      </c>
      <c r="R206" s="624">
        <v>0</v>
      </c>
      <c r="S206" s="16">
        <v>0</v>
      </c>
      <c r="T206" s="624">
        <v>0</v>
      </c>
      <c r="U206" s="49">
        <v>0</v>
      </c>
      <c r="V206" s="50"/>
    </row>
    <row r="207" spans="1:22" s="85" customFormat="1" x14ac:dyDescent="0.25">
      <c r="A207" s="507"/>
      <c r="B207" s="369"/>
      <c r="C207" s="369"/>
      <c r="D207" s="369"/>
      <c r="E207" s="369"/>
      <c r="F207" s="369"/>
      <c r="G207" s="369"/>
      <c r="H207" s="91">
        <v>54</v>
      </c>
      <c r="I207" s="90" t="s">
        <v>105</v>
      </c>
      <c r="J207" s="88">
        <f t="shared" ref="J207:M207" si="234">SUM(J208+J210)</f>
        <v>0</v>
      </c>
      <c r="K207" s="88">
        <f t="shared" si="234"/>
        <v>0</v>
      </c>
      <c r="L207" s="88">
        <f t="shared" si="234"/>
        <v>0</v>
      </c>
      <c r="M207" s="88" t="e">
        <f t="shared" si="234"/>
        <v>#REF!</v>
      </c>
      <c r="N207" s="88" t="e">
        <f t="shared" ref="N207:O207" si="235">SUM(N208+N210)</f>
        <v>#REF!</v>
      </c>
      <c r="O207" s="88">
        <f t="shared" si="235"/>
        <v>0</v>
      </c>
      <c r="P207" s="634" t="e">
        <f t="shared" ref="P207:R207" si="236">SUM(P208+P210)</f>
        <v>#REF!</v>
      </c>
      <c r="Q207" s="88">
        <f t="shared" si="236"/>
        <v>0</v>
      </c>
      <c r="R207" s="634" t="e">
        <f t="shared" si="236"/>
        <v>#REF!</v>
      </c>
      <c r="S207" s="88">
        <f t="shared" ref="S207:T207" si="237">SUM(S208+S210)</f>
        <v>0</v>
      </c>
      <c r="T207" s="634" t="e">
        <f t="shared" si="237"/>
        <v>#REF!</v>
      </c>
      <c r="U207" s="83">
        <v>0</v>
      </c>
      <c r="V207" s="84">
        <v>0</v>
      </c>
    </row>
    <row r="208" spans="1:22" s="1" customFormat="1" ht="21" hidden="1" x14ac:dyDescent="0.25">
      <c r="A208" s="506"/>
      <c r="B208" s="359"/>
      <c r="C208" s="359"/>
      <c r="D208" s="359"/>
      <c r="E208" s="359"/>
      <c r="F208" s="359"/>
      <c r="G208" s="359"/>
      <c r="H208" s="350">
        <v>543</v>
      </c>
      <c r="I208" s="8" t="s">
        <v>118</v>
      </c>
      <c r="J208" s="12">
        <f t="shared" ref="J208:T208" si="238">SUM(J209)</f>
        <v>0</v>
      </c>
      <c r="K208" s="12">
        <f t="shared" si="238"/>
        <v>0</v>
      </c>
      <c r="L208" s="12">
        <f t="shared" si="238"/>
        <v>0</v>
      </c>
      <c r="M208" s="12">
        <f t="shared" si="238"/>
        <v>0</v>
      </c>
      <c r="N208" s="12">
        <f t="shared" si="238"/>
        <v>0</v>
      </c>
      <c r="O208" s="12">
        <f t="shared" si="238"/>
        <v>0</v>
      </c>
      <c r="P208" s="633">
        <f t="shared" si="238"/>
        <v>0</v>
      </c>
      <c r="Q208" s="12">
        <f t="shared" si="238"/>
        <v>0</v>
      </c>
      <c r="R208" s="633">
        <f t="shared" si="238"/>
        <v>0</v>
      </c>
      <c r="S208" s="12">
        <f t="shared" si="238"/>
        <v>0</v>
      </c>
      <c r="T208" s="633">
        <f t="shared" si="238"/>
        <v>0</v>
      </c>
      <c r="U208" s="49">
        <v>0</v>
      </c>
      <c r="V208" s="50"/>
    </row>
    <row r="209" spans="1:22" s="2" customFormat="1" ht="21" hidden="1" x14ac:dyDescent="0.25">
      <c r="A209" s="506"/>
      <c r="B209" s="359"/>
      <c r="C209" s="359"/>
      <c r="D209" s="359"/>
      <c r="E209" s="359"/>
      <c r="F209" s="359"/>
      <c r="G209" s="359"/>
      <c r="H209" s="37">
        <v>5431</v>
      </c>
      <c r="I209" s="15" t="s">
        <v>118</v>
      </c>
      <c r="J209" s="16">
        <v>0</v>
      </c>
      <c r="K209" s="16">
        <v>0</v>
      </c>
      <c r="L209" s="16">
        <v>0</v>
      </c>
      <c r="M209" s="16">
        <v>0</v>
      </c>
      <c r="N209" s="16">
        <v>0</v>
      </c>
      <c r="O209" s="16">
        <v>0</v>
      </c>
      <c r="P209" s="624">
        <v>0</v>
      </c>
      <c r="Q209" s="16">
        <v>0</v>
      </c>
      <c r="R209" s="624">
        <v>0</v>
      </c>
      <c r="S209" s="16">
        <v>0</v>
      </c>
      <c r="T209" s="624">
        <v>0</v>
      </c>
      <c r="U209" s="49">
        <v>0</v>
      </c>
      <c r="V209" s="50"/>
    </row>
    <row r="210" spans="1:22" s="1" customFormat="1" ht="21" hidden="1" x14ac:dyDescent="0.25">
      <c r="A210" s="506"/>
      <c r="B210" s="359"/>
      <c r="C210" s="359"/>
      <c r="D210" s="359"/>
      <c r="E210" s="359"/>
      <c r="F210" s="359"/>
      <c r="G210" s="359"/>
      <c r="H210" s="350">
        <v>545</v>
      </c>
      <c r="I210" s="8" t="s">
        <v>487</v>
      </c>
      <c r="J210" s="12">
        <f t="shared" ref="J210:T210" si="239">SUM(J211)</f>
        <v>0</v>
      </c>
      <c r="K210" s="12">
        <f t="shared" si="239"/>
        <v>0</v>
      </c>
      <c r="L210" s="12">
        <f t="shared" si="239"/>
        <v>0</v>
      </c>
      <c r="M210" s="12" t="e">
        <f t="shared" si="239"/>
        <v>#REF!</v>
      </c>
      <c r="N210" s="12" t="e">
        <f t="shared" si="239"/>
        <v>#REF!</v>
      </c>
      <c r="O210" s="12">
        <f t="shared" si="239"/>
        <v>0</v>
      </c>
      <c r="P210" s="633" t="e">
        <f t="shared" si="239"/>
        <v>#REF!</v>
      </c>
      <c r="Q210" s="12">
        <f t="shared" si="239"/>
        <v>0</v>
      </c>
      <c r="R210" s="633" t="e">
        <f t="shared" si="239"/>
        <v>#REF!</v>
      </c>
      <c r="S210" s="12">
        <f t="shared" si="239"/>
        <v>0</v>
      </c>
      <c r="T210" s="633" t="e">
        <f t="shared" si="239"/>
        <v>#REF!</v>
      </c>
      <c r="U210" s="49">
        <v>0</v>
      </c>
      <c r="V210" s="50"/>
    </row>
    <row r="211" spans="1:22" s="129" customFormat="1" ht="21" hidden="1" thickBot="1" x14ac:dyDescent="0.3">
      <c r="A211" s="511"/>
      <c r="B211" s="473"/>
      <c r="C211" s="473"/>
      <c r="D211" s="473"/>
      <c r="E211" s="473"/>
      <c r="F211" s="473"/>
      <c r="G211" s="473"/>
      <c r="H211" s="474">
        <v>5453</v>
      </c>
      <c r="I211" s="475" t="s">
        <v>487</v>
      </c>
      <c r="J211" s="476">
        <v>0</v>
      </c>
      <c r="K211" s="476">
        <v>0</v>
      </c>
      <c r="L211" s="476">
        <v>0</v>
      </c>
      <c r="M211" s="476" t="e">
        <f>Posebni!#REF!</f>
        <v>#REF!</v>
      </c>
      <c r="N211" s="476" t="e">
        <f>Posebni!#REF!</f>
        <v>#REF!</v>
      </c>
      <c r="O211" s="476">
        <v>0</v>
      </c>
      <c r="P211" s="640" t="e">
        <f>Posebni!#REF!</f>
        <v>#REF!</v>
      </c>
      <c r="Q211" s="476">
        <v>0</v>
      </c>
      <c r="R211" s="640" t="e">
        <f>Posebni!#REF!</f>
        <v>#REF!</v>
      </c>
      <c r="S211" s="476">
        <v>0</v>
      </c>
      <c r="T211" s="640" t="e">
        <f>Posebni!#REF!</f>
        <v>#REF!</v>
      </c>
      <c r="U211" s="477">
        <v>0</v>
      </c>
      <c r="V211" s="478"/>
    </row>
    <row r="212" spans="1:22" s="2" customFormat="1" x14ac:dyDescent="0.25">
      <c r="A212" s="512"/>
      <c r="B212" s="366"/>
      <c r="C212" s="366"/>
      <c r="D212" s="366"/>
      <c r="E212" s="366"/>
      <c r="F212" s="366"/>
      <c r="G212" s="366"/>
      <c r="H212" s="18"/>
      <c r="I212" s="19"/>
      <c r="J212" s="20"/>
      <c r="K212" s="20"/>
      <c r="L212" s="20"/>
      <c r="M212" s="20"/>
      <c r="N212" s="20"/>
      <c r="O212" s="20"/>
      <c r="P212" s="637"/>
      <c r="Q212" s="20"/>
      <c r="R212" s="637"/>
      <c r="S212" s="20"/>
      <c r="T212" s="637"/>
      <c r="U212" s="21"/>
      <c r="V212" s="22"/>
    </row>
    <row r="213" spans="1:22" s="2" customFormat="1" x14ac:dyDescent="0.25">
      <c r="A213" s="512"/>
      <c r="B213" s="366"/>
      <c r="C213" s="366"/>
      <c r="D213" s="366"/>
      <c r="E213" s="366"/>
      <c r="F213" s="366"/>
      <c r="G213" s="366"/>
      <c r="H213" s="18"/>
      <c r="I213" s="19"/>
      <c r="J213" s="23"/>
      <c r="K213" s="23"/>
      <c r="L213" s="23"/>
      <c r="M213" s="23"/>
      <c r="N213" s="23"/>
      <c r="O213" s="23"/>
      <c r="P213" s="641"/>
      <c r="Q213" s="23"/>
      <c r="R213" s="641"/>
      <c r="S213" s="23"/>
      <c r="T213" s="641"/>
      <c r="U213" s="21"/>
      <c r="V213" s="22"/>
    </row>
    <row r="214" spans="1:22" s="42" customFormat="1" ht="13.8" thickBot="1" x14ac:dyDescent="0.3">
      <c r="A214" s="549"/>
      <c r="B214" s="550"/>
      <c r="C214" s="550"/>
      <c r="D214" s="550"/>
      <c r="E214" s="550"/>
      <c r="F214" s="550"/>
      <c r="G214" s="550"/>
      <c r="H214" s="29" t="s">
        <v>106</v>
      </c>
      <c r="I214" s="551"/>
      <c r="J214" s="552"/>
      <c r="K214" s="552"/>
      <c r="L214" s="552"/>
      <c r="M214" s="552"/>
      <c r="N214" s="552"/>
      <c r="O214" s="159"/>
      <c r="P214" s="638"/>
      <c r="Q214" s="159"/>
      <c r="R214" s="638"/>
      <c r="S214" s="159"/>
      <c r="T214" s="638"/>
      <c r="V214" s="553"/>
    </row>
    <row r="215" spans="1:22" s="69" customFormat="1" x14ac:dyDescent="0.25">
      <c r="A215" s="513"/>
      <c r="B215" s="371"/>
      <c r="C215" s="371"/>
      <c r="D215" s="371"/>
      <c r="E215" s="371"/>
      <c r="F215" s="371"/>
      <c r="G215" s="371"/>
      <c r="H215" s="74">
        <v>9</v>
      </c>
      <c r="I215" s="75" t="s">
        <v>8</v>
      </c>
      <c r="J215" s="66">
        <f t="shared" ref="J215:T216" si="240">SUM(J216)</f>
        <v>610476</v>
      </c>
      <c r="K215" s="66">
        <f t="shared" si="240"/>
        <v>0</v>
      </c>
      <c r="L215" s="66">
        <f t="shared" si="240"/>
        <v>0</v>
      </c>
      <c r="M215" s="66">
        <f t="shared" si="240"/>
        <v>0</v>
      </c>
      <c r="N215" s="66">
        <f t="shared" si="240"/>
        <v>0</v>
      </c>
      <c r="O215" s="678">
        <f t="shared" si="240"/>
        <v>300000</v>
      </c>
      <c r="P215" s="681">
        <f t="shared" si="240"/>
        <v>2260350</v>
      </c>
      <c r="Q215" s="678">
        <f t="shared" si="240"/>
        <v>100000</v>
      </c>
      <c r="R215" s="681">
        <f t="shared" si="240"/>
        <v>753450</v>
      </c>
      <c r="S215" s="678">
        <f t="shared" si="240"/>
        <v>0</v>
      </c>
      <c r="T215" s="639">
        <f t="shared" si="240"/>
        <v>0</v>
      </c>
      <c r="U215" s="76">
        <f>Q215/O215*100</f>
        <v>33.333333333333329</v>
      </c>
      <c r="V215" s="77">
        <v>0</v>
      </c>
    </row>
    <row r="216" spans="1:22" s="85" customFormat="1" x14ac:dyDescent="0.25">
      <c r="A216" s="507"/>
      <c r="B216" s="369"/>
      <c r="C216" s="369"/>
      <c r="D216" s="369"/>
      <c r="E216" s="369"/>
      <c r="F216" s="369"/>
      <c r="G216" s="369"/>
      <c r="H216" s="86">
        <v>92</v>
      </c>
      <c r="I216" s="87" t="s">
        <v>107</v>
      </c>
      <c r="J216" s="88">
        <f t="shared" si="240"/>
        <v>610476</v>
      </c>
      <c r="K216" s="88">
        <f t="shared" si="240"/>
        <v>0</v>
      </c>
      <c r="L216" s="88">
        <f t="shared" si="240"/>
        <v>0</v>
      </c>
      <c r="M216" s="88">
        <f t="shared" si="240"/>
        <v>0</v>
      </c>
      <c r="N216" s="88">
        <f t="shared" si="240"/>
        <v>0</v>
      </c>
      <c r="O216" s="88">
        <f t="shared" si="240"/>
        <v>300000</v>
      </c>
      <c r="P216" s="648">
        <f t="shared" si="240"/>
        <v>2260350</v>
      </c>
      <c r="Q216" s="88">
        <f t="shared" si="240"/>
        <v>100000</v>
      </c>
      <c r="R216" s="648">
        <f t="shared" si="240"/>
        <v>753450</v>
      </c>
      <c r="S216" s="88">
        <f t="shared" si="240"/>
        <v>0</v>
      </c>
      <c r="T216" s="634">
        <f t="shared" si="240"/>
        <v>0</v>
      </c>
      <c r="U216" s="82">
        <f>Q216/O216*100</f>
        <v>33.333333333333329</v>
      </c>
      <c r="V216" s="699">
        <f>S216/Q216*100</f>
        <v>0</v>
      </c>
    </row>
    <row r="217" spans="1:22" s="1" customFormat="1" hidden="1" x14ac:dyDescent="0.25">
      <c r="A217" s="506"/>
      <c r="B217" s="359"/>
      <c r="C217" s="359"/>
      <c r="D217" s="359"/>
      <c r="E217" s="359"/>
      <c r="F217" s="359"/>
      <c r="G217" s="359"/>
      <c r="H217" s="24">
        <v>922</v>
      </c>
      <c r="I217" s="8" t="s">
        <v>108</v>
      </c>
      <c r="J217" s="12">
        <f t="shared" ref="J217:P217" si="241">SUM(J218+J219)</f>
        <v>610476</v>
      </c>
      <c r="K217" s="12">
        <f t="shared" si="241"/>
        <v>0</v>
      </c>
      <c r="L217" s="12">
        <f t="shared" si="241"/>
        <v>0</v>
      </c>
      <c r="M217" s="12">
        <f t="shared" si="241"/>
        <v>0</v>
      </c>
      <c r="N217" s="12">
        <f t="shared" si="241"/>
        <v>0</v>
      </c>
      <c r="O217" s="12">
        <f t="shared" si="241"/>
        <v>300000</v>
      </c>
      <c r="P217" s="626">
        <f t="shared" si="241"/>
        <v>2260350</v>
      </c>
      <c r="Q217" s="12">
        <f t="shared" ref="Q217:T217" si="242">SUM(Q218+Q219)</f>
        <v>100000</v>
      </c>
      <c r="R217" s="626">
        <f t="shared" ref="R217" si="243">SUM(R218+R219)</f>
        <v>753450</v>
      </c>
      <c r="S217" s="12">
        <f t="shared" si="242"/>
        <v>0</v>
      </c>
      <c r="T217" s="633">
        <f t="shared" si="242"/>
        <v>0</v>
      </c>
      <c r="U217" s="52">
        <f>K217/J217*100</f>
        <v>0</v>
      </c>
      <c r="V217" s="53"/>
    </row>
    <row r="218" spans="1:22" s="42" customFormat="1" hidden="1" x14ac:dyDescent="0.25">
      <c r="A218" s="514"/>
      <c r="B218" s="38"/>
      <c r="C218" s="38"/>
      <c r="D218" s="38"/>
      <c r="E218" s="38"/>
      <c r="F218" s="38"/>
      <c r="G218" s="38"/>
      <c r="H218" s="39">
        <v>9221</v>
      </c>
      <c r="I218" s="40" t="s">
        <v>409</v>
      </c>
      <c r="J218" s="41">
        <v>610476</v>
      </c>
      <c r="K218" s="41">
        <v>0</v>
      </c>
      <c r="L218" s="41">
        <v>0</v>
      </c>
      <c r="M218" s="41">
        <v>0</v>
      </c>
      <c r="N218" s="41">
        <v>0</v>
      </c>
      <c r="O218" s="377">
        <v>300000</v>
      </c>
      <c r="P218" s="647">
        <f>O218*7.5345</f>
        <v>2260350</v>
      </c>
      <c r="Q218" s="377">
        <v>100000</v>
      </c>
      <c r="R218" s="647">
        <f>Q218*7.5345</f>
        <v>753450</v>
      </c>
      <c r="S218" s="377">
        <v>0</v>
      </c>
      <c r="T218" s="635">
        <v>0</v>
      </c>
      <c r="U218" s="52">
        <v>0</v>
      </c>
      <c r="V218" s="53"/>
    </row>
    <row r="219" spans="1:22" ht="13.8" hidden="1" thickBot="1" x14ac:dyDescent="0.3">
      <c r="A219" s="515"/>
      <c r="B219" s="269"/>
      <c r="C219" s="269"/>
      <c r="D219" s="269"/>
      <c r="E219" s="269"/>
      <c r="F219" s="269"/>
      <c r="G219" s="269"/>
      <c r="H219" s="32">
        <v>9222</v>
      </c>
      <c r="I219" s="33" t="s">
        <v>410</v>
      </c>
      <c r="J219" s="34">
        <v>0</v>
      </c>
      <c r="K219" s="34">
        <v>0</v>
      </c>
      <c r="L219" s="34">
        <v>0</v>
      </c>
      <c r="M219" s="34">
        <v>0</v>
      </c>
      <c r="N219" s="34">
        <v>0</v>
      </c>
      <c r="O219" s="34">
        <v>0</v>
      </c>
      <c r="P219" s="625">
        <v>0</v>
      </c>
      <c r="Q219" s="34">
        <v>0</v>
      </c>
      <c r="R219" s="625">
        <v>0</v>
      </c>
      <c r="S219" s="34">
        <v>0</v>
      </c>
      <c r="T219" s="625">
        <v>0</v>
      </c>
      <c r="U219" s="54">
        <v>0</v>
      </c>
      <c r="V219" s="55"/>
    </row>
    <row r="220" spans="1:22" x14ac:dyDescent="0.25">
      <c r="I220" s="4"/>
      <c r="K220" s="3"/>
    </row>
    <row r="221" spans="1:22" ht="15.6" x14ac:dyDescent="0.25">
      <c r="H221" s="654"/>
      <c r="I221" s="4"/>
      <c r="K221" s="3"/>
    </row>
    <row r="222" spans="1:22" x14ac:dyDescent="0.25">
      <c r="I222" s="4"/>
      <c r="K222" s="3"/>
    </row>
    <row r="223" spans="1:22" s="500" customFormat="1" ht="12" x14ac:dyDescent="0.25">
      <c r="H223" s="501" t="s">
        <v>501</v>
      </c>
      <c r="I223" s="502"/>
      <c r="K223" s="503"/>
      <c r="O223" s="200"/>
      <c r="P223" s="642"/>
      <c r="Q223" s="200"/>
      <c r="R223" s="642"/>
      <c r="S223" s="200"/>
      <c r="T223" s="642"/>
    </row>
    <row r="224" spans="1:22" s="500" customFormat="1" ht="11.4" x14ac:dyDescent="0.2">
      <c r="I224" s="500" t="s">
        <v>494</v>
      </c>
      <c r="O224" s="200"/>
      <c r="P224" s="642"/>
      <c r="Q224" s="200"/>
      <c r="R224" s="642"/>
      <c r="S224" s="200"/>
      <c r="T224" s="642"/>
    </row>
    <row r="225" spans="9:21" s="500" customFormat="1" ht="11.4" x14ac:dyDescent="0.2">
      <c r="I225" s="500" t="s">
        <v>495</v>
      </c>
      <c r="O225" s="200"/>
      <c r="P225" s="642"/>
      <c r="Q225" s="200"/>
      <c r="R225" s="642"/>
      <c r="S225" s="200"/>
      <c r="T225" s="642"/>
    </row>
    <row r="226" spans="9:21" s="500" customFormat="1" ht="11.4" x14ac:dyDescent="0.2">
      <c r="I226" s="500" t="s">
        <v>496</v>
      </c>
      <c r="O226" s="200"/>
      <c r="P226" s="642"/>
      <c r="Q226" s="200"/>
      <c r="R226" s="642"/>
      <c r="S226" s="200"/>
      <c r="T226" s="642"/>
    </row>
    <row r="227" spans="9:21" s="500" customFormat="1" ht="11.4" x14ac:dyDescent="0.2">
      <c r="I227" s="500" t="s">
        <v>497</v>
      </c>
      <c r="O227" s="200"/>
      <c r="P227" s="642"/>
      <c r="Q227" s="200"/>
      <c r="R227" s="642"/>
      <c r="S227" s="200"/>
      <c r="T227" s="642"/>
    </row>
    <row r="228" spans="9:21" s="500" customFormat="1" ht="11.4" x14ac:dyDescent="0.2">
      <c r="I228" s="500" t="s">
        <v>498</v>
      </c>
      <c r="O228" s="200"/>
      <c r="P228" s="642"/>
      <c r="Q228" s="200"/>
      <c r="R228" s="642"/>
      <c r="S228" s="200"/>
      <c r="T228" s="642"/>
    </row>
    <row r="229" spans="9:21" s="500" customFormat="1" ht="11.4" x14ac:dyDescent="0.2">
      <c r="I229" s="919" t="s">
        <v>499</v>
      </c>
      <c r="J229" s="919"/>
      <c r="K229" s="919"/>
      <c r="L229" s="919"/>
      <c r="M229" s="919"/>
      <c r="N229" s="919"/>
      <c r="O229" s="919"/>
      <c r="P229" s="919"/>
      <c r="Q229" s="919"/>
      <c r="R229" s="919"/>
      <c r="S229" s="919"/>
      <c r="T229" s="919"/>
      <c r="U229" s="919"/>
    </row>
    <row r="230" spans="9:21" s="500" customFormat="1" ht="11.4" x14ac:dyDescent="0.2">
      <c r="I230" s="500" t="s">
        <v>500</v>
      </c>
      <c r="O230" s="200"/>
      <c r="P230" s="642"/>
      <c r="Q230" s="200"/>
      <c r="R230" s="642"/>
      <c r="S230" s="200"/>
      <c r="T230" s="642"/>
    </row>
    <row r="231" spans="9:21" s="500" customFormat="1" ht="11.4" x14ac:dyDescent="0.2">
      <c r="I231" s="500" t="s">
        <v>557</v>
      </c>
      <c r="O231" s="200"/>
      <c r="P231" s="642"/>
      <c r="Q231" s="200"/>
      <c r="R231" s="642"/>
      <c r="S231" s="200"/>
      <c r="T231" s="642"/>
    </row>
  </sheetData>
  <mergeCells count="11">
    <mergeCell ref="I229:U229"/>
    <mergeCell ref="H30:I30"/>
    <mergeCell ref="A11:G11"/>
    <mergeCell ref="A2:I2"/>
    <mergeCell ref="A6:V6"/>
    <mergeCell ref="A7:V7"/>
    <mergeCell ref="A9:I9"/>
    <mergeCell ref="A32:V32"/>
    <mergeCell ref="A13:V13"/>
    <mergeCell ref="A22:V22"/>
    <mergeCell ref="A27:V27"/>
  </mergeCells>
  <phoneticPr fontId="0" type="noConversion"/>
  <printOptions horizontalCentered="1"/>
  <pageMargins left="0.23622047244094491" right="0.23622047244094491" top="0.55118110236220474" bottom="0.35433070866141736" header="0.31496062992125984" footer="0.31496062992125984"/>
  <pageSetup paperSize="9" fitToHeight="0" orientation="landscape" horizontalDpi="300" verticalDpi="300" r:id="rId1"/>
  <headerFooter alignWithMargins="0">
    <oddFooter>Stranica &amp;P</oddFooter>
  </headerFooter>
  <rowBreaks count="7" manualBreakCount="7">
    <brk id="32" max="21" man="1"/>
    <brk id="67" max="21" man="1"/>
    <brk id="96" max="21" man="1"/>
    <brk id="126" max="21" man="1"/>
    <brk id="154" max="21" man="1"/>
    <brk id="193" max="21" man="1"/>
    <brk id="212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85"/>
  <sheetViews>
    <sheetView tabSelected="1" view="pageBreakPreview" topLeftCell="A554" zoomScale="85" zoomScaleNormal="85" zoomScaleSheetLayoutView="85" workbookViewId="0">
      <selection activeCell="A582" sqref="A582:XFD582"/>
    </sheetView>
  </sheetViews>
  <sheetFormatPr defaultRowHeight="13.2" x14ac:dyDescent="0.25"/>
  <cols>
    <col min="1" max="1" width="12.88671875" customWidth="1"/>
    <col min="2" max="2" width="6.33203125" customWidth="1"/>
    <col min="3" max="3" width="8.6640625" customWidth="1"/>
    <col min="4" max="4" width="67.44140625" customWidth="1"/>
    <col min="5" max="5" width="0.33203125" hidden="1" customWidth="1"/>
    <col min="6" max="7" width="21.5546875" style="586" hidden="1" customWidth="1"/>
    <col min="8" max="8" width="21.5546875" style="42" customWidth="1"/>
    <col min="9" max="9" width="21.5546875" style="586" hidden="1" customWidth="1"/>
    <col min="10" max="10" width="21.5546875" style="42" customWidth="1"/>
    <col min="11" max="11" width="21.5546875" style="586" hidden="1" customWidth="1"/>
    <col min="12" max="12" width="21.5546875" style="42" customWidth="1"/>
    <col min="13" max="13" width="21.5546875" style="586" hidden="1" customWidth="1"/>
    <col min="14" max="14" width="8.88671875" style="450" customWidth="1"/>
    <col min="15" max="15" width="9.109375" style="450" customWidth="1"/>
  </cols>
  <sheetData>
    <row r="1" spans="1:15" ht="13.8" x14ac:dyDescent="0.25">
      <c r="A1" s="960"/>
      <c r="B1" s="961"/>
      <c r="C1" s="961"/>
      <c r="D1" s="961"/>
      <c r="E1" s="961"/>
      <c r="F1" s="961"/>
      <c r="G1" s="961"/>
      <c r="H1" s="961"/>
      <c r="I1" s="961"/>
      <c r="J1" s="961"/>
      <c r="K1" s="961"/>
      <c r="L1" s="961"/>
      <c r="M1" s="961"/>
      <c r="N1" s="961"/>
      <c r="O1" s="962"/>
    </row>
    <row r="2" spans="1:15" ht="13.8" x14ac:dyDescent="0.25">
      <c r="A2" s="963"/>
      <c r="B2" s="964"/>
      <c r="C2" s="964"/>
      <c r="D2" s="964"/>
      <c r="E2" s="964"/>
      <c r="F2" s="964"/>
      <c r="G2" s="964"/>
      <c r="H2" s="964"/>
      <c r="I2" s="964"/>
      <c r="J2" s="964"/>
      <c r="K2" s="964"/>
      <c r="L2" s="964"/>
      <c r="M2" s="964"/>
      <c r="N2" s="964"/>
      <c r="O2" s="965"/>
    </row>
    <row r="3" spans="1:15" ht="18" customHeight="1" x14ac:dyDescent="0.3">
      <c r="A3" s="966" t="s">
        <v>477</v>
      </c>
      <c r="B3" s="966"/>
      <c r="C3" s="966"/>
      <c r="D3" s="966"/>
      <c r="E3" s="966"/>
      <c r="F3" s="966"/>
      <c r="G3" s="602"/>
      <c r="H3" s="602"/>
      <c r="I3" s="616"/>
      <c r="J3" s="602"/>
      <c r="K3" s="616"/>
      <c r="L3" s="602"/>
      <c r="M3" s="616"/>
      <c r="N3" s="470"/>
      <c r="O3" s="470"/>
    </row>
    <row r="4" spans="1:15" ht="17.399999999999999" customHeight="1" thickBot="1" x14ac:dyDescent="0.3">
      <c r="A4" s="471"/>
      <c r="B4" s="471"/>
      <c r="C4" s="471"/>
      <c r="D4" s="471"/>
      <c r="E4" s="471"/>
      <c r="F4" s="573"/>
      <c r="G4" s="573"/>
      <c r="H4" s="471"/>
      <c r="I4" s="573"/>
      <c r="J4" s="471"/>
      <c r="K4" s="573"/>
      <c r="L4" s="471"/>
      <c r="M4" s="573"/>
      <c r="N4" s="471"/>
      <c r="O4" s="471"/>
    </row>
    <row r="5" spans="1:15" s="383" customFormat="1" ht="64.2" customHeight="1" thickBot="1" x14ac:dyDescent="0.3">
      <c r="A5" s="442" t="s">
        <v>172</v>
      </c>
      <c r="B5" s="483" t="s">
        <v>109</v>
      </c>
      <c r="C5" s="443" t="s">
        <v>10</v>
      </c>
      <c r="D5" s="499" t="s">
        <v>173</v>
      </c>
      <c r="E5" s="444" t="s">
        <v>175</v>
      </c>
      <c r="F5" s="472" t="s">
        <v>507</v>
      </c>
      <c r="G5" s="472" t="s">
        <v>506</v>
      </c>
      <c r="H5" s="472" t="s">
        <v>616</v>
      </c>
      <c r="I5" s="656" t="s">
        <v>515</v>
      </c>
      <c r="J5" s="472" t="s">
        <v>592</v>
      </c>
      <c r="K5" s="656" t="s">
        <v>521</v>
      </c>
      <c r="L5" s="472" t="s">
        <v>617</v>
      </c>
      <c r="M5" s="656" t="s">
        <v>524</v>
      </c>
      <c r="N5" s="443" t="s">
        <v>555</v>
      </c>
      <c r="O5" s="465" t="s">
        <v>556</v>
      </c>
    </row>
    <row r="6" spans="1:15" s="230" customFormat="1" ht="15" thickTop="1" thickBot="1" x14ac:dyDescent="0.3">
      <c r="A6" s="613"/>
      <c r="B6" s="614"/>
      <c r="C6" s="440"/>
      <c r="D6" s="441"/>
      <c r="E6" s="441"/>
      <c r="F6" s="441"/>
      <c r="G6" s="441"/>
      <c r="H6" s="441">
        <v>1</v>
      </c>
      <c r="I6" s="615">
        <v>2</v>
      </c>
      <c r="J6" s="441">
        <v>3</v>
      </c>
      <c r="K6" s="615">
        <v>4</v>
      </c>
      <c r="L6" s="441">
        <v>5</v>
      </c>
      <c r="M6" s="615">
        <v>6</v>
      </c>
      <c r="N6" s="441">
        <v>7</v>
      </c>
      <c r="O6" s="693">
        <v>8</v>
      </c>
    </row>
    <row r="7" spans="1:15" s="612" customFormat="1" ht="21.6" thickBot="1" x14ac:dyDescent="0.3">
      <c r="A7" s="970" t="s">
        <v>442</v>
      </c>
      <c r="B7" s="971"/>
      <c r="C7" s="971"/>
      <c r="D7" s="972"/>
      <c r="E7" s="592" t="e">
        <f>SUM(E8+#REF!+#REF!+#REF!+#REF!+#REF!+#REF!+#REF!+#REF!+#REF!)</f>
        <v>#REF!</v>
      </c>
      <c r="F7" s="592" t="e">
        <f t="shared" ref="F7:M7" si="0">SUM(F8)</f>
        <v>#REF!</v>
      </c>
      <c r="G7" s="592" t="e">
        <f t="shared" si="0"/>
        <v>#REF!</v>
      </c>
      <c r="H7" s="592">
        <f t="shared" si="0"/>
        <v>3156450</v>
      </c>
      <c r="I7" s="609" t="e">
        <f t="shared" si="0"/>
        <v>#REF!</v>
      </c>
      <c r="J7" s="592">
        <f t="shared" si="0"/>
        <v>3242750</v>
      </c>
      <c r="K7" s="609" t="e">
        <f t="shared" si="0"/>
        <v>#REF!</v>
      </c>
      <c r="L7" s="592">
        <f t="shared" si="0"/>
        <v>3334751</v>
      </c>
      <c r="M7" s="609" t="e">
        <f t="shared" si="0"/>
        <v>#REF!</v>
      </c>
      <c r="N7" s="610">
        <f>AVERAGE(J7/H7*100)</f>
        <v>102.73408417684425</v>
      </c>
      <c r="O7" s="611">
        <f>AVERAGE(L7/J7*100)</f>
        <v>102.83712898003239</v>
      </c>
    </row>
    <row r="8" spans="1:15" s="452" customFormat="1" ht="43.95" customHeight="1" thickBot="1" x14ac:dyDescent="0.3">
      <c r="A8" s="967" t="s">
        <v>443</v>
      </c>
      <c r="B8" s="968"/>
      <c r="C8" s="968"/>
      <c r="D8" s="969"/>
      <c r="E8" s="451">
        <v>1114522.06</v>
      </c>
      <c r="F8" s="451" t="e">
        <f t="shared" ref="F8:I8" si="1">SUM(F583)</f>
        <v>#REF!</v>
      </c>
      <c r="G8" s="451" t="e">
        <f t="shared" si="1"/>
        <v>#REF!</v>
      </c>
      <c r="H8" s="451">
        <f t="shared" si="1"/>
        <v>3156450</v>
      </c>
      <c r="I8" s="574" t="e">
        <f t="shared" si="1"/>
        <v>#REF!</v>
      </c>
      <c r="J8" s="451">
        <f t="shared" ref="J8:L8" si="2">SUM(J583)</f>
        <v>3242750</v>
      </c>
      <c r="K8" s="574" t="e">
        <f t="shared" ref="K8:M8" si="3">SUM(K583)</f>
        <v>#REF!</v>
      </c>
      <c r="L8" s="451">
        <f t="shared" si="2"/>
        <v>3334751</v>
      </c>
      <c r="M8" s="574" t="e">
        <f t="shared" si="3"/>
        <v>#REF!</v>
      </c>
      <c r="N8" s="691">
        <f>AVERAGE(J8/H8*100)</f>
        <v>102.73408417684425</v>
      </c>
      <c r="O8" s="692">
        <f>AVERAGE(L8/J8*100)</f>
        <v>102.83712898003239</v>
      </c>
    </row>
    <row r="9" spans="1:15" s="607" customFormat="1" ht="18" thickBot="1" x14ac:dyDescent="0.3">
      <c r="A9" s="939" t="s">
        <v>504</v>
      </c>
      <c r="B9" s="940"/>
      <c r="C9" s="940"/>
      <c r="D9" s="941"/>
      <c r="E9" s="593">
        <f t="shared" ref="E9:H9" si="4">SUM(E12+E28+E59+E69+E75+E81)</f>
        <v>1114522.06</v>
      </c>
      <c r="F9" s="593">
        <f t="shared" si="4"/>
        <v>1613000</v>
      </c>
      <c r="G9" s="593">
        <f t="shared" si="4"/>
        <v>214081.88997279186</v>
      </c>
      <c r="H9" s="593">
        <f t="shared" si="4"/>
        <v>321550</v>
      </c>
      <c r="I9" s="598">
        <f t="shared" ref="I9:K9" si="5">SUM(I12+I28+I59+I69+I75+I81)</f>
        <v>2418951.2250000001</v>
      </c>
      <c r="J9" s="593">
        <f t="shared" ref="J9:M9" si="6">SUM(J12+J28+J59+J69+J75+J81)</f>
        <v>308250</v>
      </c>
      <c r="K9" s="598">
        <f t="shared" si="5"/>
        <v>2318742.375</v>
      </c>
      <c r="L9" s="593">
        <f t="shared" si="6"/>
        <v>320750</v>
      </c>
      <c r="M9" s="598">
        <f t="shared" si="6"/>
        <v>2412923.625</v>
      </c>
      <c r="N9" s="600">
        <f>AVERAGE(J9/H9*100)</f>
        <v>95.863784792411749</v>
      </c>
      <c r="O9" s="601">
        <f>AVERAGE(L9/J9*100)</f>
        <v>104.0551500405515</v>
      </c>
    </row>
    <row r="10" spans="1:15" ht="13.8" x14ac:dyDescent="0.25">
      <c r="A10" s="436"/>
      <c r="B10" s="417"/>
      <c r="C10" s="417"/>
      <c r="D10" s="439" t="s">
        <v>178</v>
      </c>
      <c r="E10" s="418"/>
      <c r="F10" s="419"/>
      <c r="G10" s="419"/>
      <c r="H10" s="419"/>
      <c r="I10" s="576"/>
      <c r="J10" s="419"/>
      <c r="K10" s="576"/>
      <c r="L10" s="419"/>
      <c r="M10" s="576"/>
      <c r="N10" s="942">
        <f>AVERAGE(J12/H12*100)</f>
        <v>104.90543735224587</v>
      </c>
      <c r="O10" s="944">
        <f>AVERAGE(L12/J12*100)</f>
        <v>103.66197183098591</v>
      </c>
    </row>
    <row r="11" spans="1:15" ht="13.8" x14ac:dyDescent="0.25">
      <c r="A11" s="426"/>
      <c r="B11" s="42"/>
      <c r="C11" s="42"/>
      <c r="D11" s="420" t="s">
        <v>670</v>
      </c>
      <c r="E11" s="403"/>
      <c r="F11" s="396"/>
      <c r="G11" s="396"/>
      <c r="H11" s="396"/>
      <c r="I11" s="577"/>
      <c r="J11" s="396"/>
      <c r="K11" s="577"/>
      <c r="L11" s="396"/>
      <c r="M11" s="577"/>
      <c r="N11" s="943"/>
      <c r="O11" s="945"/>
    </row>
    <row r="12" spans="1:15" s="117" customFormat="1" ht="15.6" x14ac:dyDescent="0.3">
      <c r="A12" s="453"/>
      <c r="B12" s="454"/>
      <c r="C12" s="454"/>
      <c r="D12" s="455" t="s">
        <v>388</v>
      </c>
      <c r="E12" s="456">
        <f t="shared" ref="E12:I12" si="7">SUM(E13+E20)</f>
        <v>524300</v>
      </c>
      <c r="F12" s="457">
        <f t="shared" si="7"/>
        <v>779000</v>
      </c>
      <c r="G12" s="457">
        <f t="shared" si="7"/>
        <v>103391.06775499371</v>
      </c>
      <c r="H12" s="457">
        <f t="shared" si="7"/>
        <v>169200</v>
      </c>
      <c r="I12" s="578">
        <f t="shared" si="7"/>
        <v>1274837.4000000001</v>
      </c>
      <c r="J12" s="457">
        <f t="shared" ref="J12:L12" si="8">SUM(J13+J20)</f>
        <v>177500</v>
      </c>
      <c r="K12" s="578">
        <f t="shared" ref="K12:M12" si="9">SUM(K13+K20)</f>
        <v>1337373.75</v>
      </c>
      <c r="L12" s="457">
        <f t="shared" si="8"/>
        <v>184000</v>
      </c>
      <c r="M12" s="578">
        <f t="shared" si="9"/>
        <v>1386348</v>
      </c>
      <c r="N12" s="943"/>
      <c r="O12" s="945"/>
    </row>
    <row r="13" spans="1:15" s="29" customFormat="1" ht="13.8" x14ac:dyDescent="0.25">
      <c r="A13" s="384" t="s">
        <v>389</v>
      </c>
      <c r="B13" s="487"/>
      <c r="C13" s="416">
        <v>31</v>
      </c>
      <c r="D13" s="393" t="s">
        <v>41</v>
      </c>
      <c r="E13" s="405">
        <f t="shared" ref="E13:L13" si="10">SUM(E14+E16+E18)</f>
        <v>482800</v>
      </c>
      <c r="F13" s="405">
        <f t="shared" si="10"/>
        <v>723000</v>
      </c>
      <c r="G13" s="405">
        <f t="shared" si="10"/>
        <v>95958.590483774649</v>
      </c>
      <c r="H13" s="405">
        <f t="shared" si="10"/>
        <v>159200</v>
      </c>
      <c r="I13" s="405">
        <f t="shared" si="10"/>
        <v>1199492.4000000001</v>
      </c>
      <c r="J13" s="405">
        <f t="shared" si="10"/>
        <v>166500</v>
      </c>
      <c r="K13" s="405">
        <f t="shared" si="10"/>
        <v>1254494.25</v>
      </c>
      <c r="L13" s="405">
        <f t="shared" si="10"/>
        <v>172500</v>
      </c>
      <c r="M13" s="579">
        <f t="shared" ref="M13" si="11">SUM(M14+M16+M18)</f>
        <v>1299701.25</v>
      </c>
      <c r="N13" s="409">
        <f>AVERAGE(J13/H13*100)</f>
        <v>104.5854271356784</v>
      </c>
      <c r="O13" s="427">
        <f>AVERAGE(L13/J13*100)</f>
        <v>103.60360360360362</v>
      </c>
    </row>
    <row r="14" spans="1:15" ht="13.8" x14ac:dyDescent="0.25">
      <c r="A14" s="395" t="s">
        <v>389</v>
      </c>
      <c r="B14" s="488"/>
      <c r="C14" s="391">
        <v>311</v>
      </c>
      <c r="D14" s="392" t="s">
        <v>183</v>
      </c>
      <c r="E14" s="387">
        <v>400000</v>
      </c>
      <c r="F14" s="387">
        <f t="shared" ref="F14:M14" si="12">F15</f>
        <v>560000</v>
      </c>
      <c r="G14" s="387">
        <f t="shared" si="12"/>
        <v>74324.772712190592</v>
      </c>
      <c r="H14" s="387">
        <f t="shared" si="12"/>
        <v>129000</v>
      </c>
      <c r="I14" s="387">
        <f t="shared" si="12"/>
        <v>971950.5</v>
      </c>
      <c r="J14" s="387">
        <f t="shared" si="12"/>
        <v>135000</v>
      </c>
      <c r="K14" s="387">
        <f t="shared" si="12"/>
        <v>1017157.5</v>
      </c>
      <c r="L14" s="387">
        <f t="shared" si="12"/>
        <v>140000</v>
      </c>
      <c r="M14" s="580">
        <f t="shared" si="12"/>
        <v>1054830</v>
      </c>
      <c r="N14" s="409">
        <f t="shared" ref="N14:N25" si="13">AVERAGE(J14/H14*100)</f>
        <v>104.65116279069768</v>
      </c>
      <c r="O14" s="427">
        <f t="shared" ref="O14:O25" si="14">AVERAGE(L14/J14*100)</f>
        <v>103.7037037037037</v>
      </c>
    </row>
    <row r="15" spans="1:15" ht="13.8" hidden="1" x14ac:dyDescent="0.25">
      <c r="A15" s="395" t="s">
        <v>389</v>
      </c>
      <c r="B15" s="488"/>
      <c r="C15" s="391">
        <v>3111</v>
      </c>
      <c r="D15" s="392" t="s">
        <v>184</v>
      </c>
      <c r="E15" s="387">
        <v>400000</v>
      </c>
      <c r="F15" s="387">
        <v>560000</v>
      </c>
      <c r="G15" s="387">
        <f>F15/7.5345</f>
        <v>74324.772712190592</v>
      </c>
      <c r="H15" s="387">
        <v>129000</v>
      </c>
      <c r="I15" s="580">
        <f>H15*7.5345</f>
        <v>971950.5</v>
      </c>
      <c r="J15" s="387">
        <v>135000</v>
      </c>
      <c r="K15" s="580">
        <f>J15*7.5345</f>
        <v>1017157.5</v>
      </c>
      <c r="L15" s="387">
        <v>140000</v>
      </c>
      <c r="M15" s="580">
        <f>L15*7.5345</f>
        <v>1054830</v>
      </c>
      <c r="N15" s="409">
        <f t="shared" si="13"/>
        <v>104.65116279069768</v>
      </c>
      <c r="O15" s="427">
        <f t="shared" si="14"/>
        <v>103.7037037037037</v>
      </c>
    </row>
    <row r="16" spans="1:15" ht="13.8" x14ac:dyDescent="0.25">
      <c r="A16" s="395" t="s">
        <v>389</v>
      </c>
      <c r="B16" s="488"/>
      <c r="C16" s="391">
        <v>312</v>
      </c>
      <c r="D16" s="392" t="s">
        <v>43</v>
      </c>
      <c r="E16" s="387">
        <v>14000</v>
      </c>
      <c r="F16" s="387">
        <f t="shared" ref="F16:G16" si="15">F17</f>
        <v>70000</v>
      </c>
      <c r="G16" s="387">
        <f t="shared" si="15"/>
        <v>9290.596589023824</v>
      </c>
      <c r="H16" s="387">
        <f>H17</f>
        <v>11400</v>
      </c>
      <c r="I16" s="387">
        <f t="shared" ref="I16:L16" si="16">I17</f>
        <v>85893.3</v>
      </c>
      <c r="J16" s="387">
        <f t="shared" si="16"/>
        <v>12000</v>
      </c>
      <c r="K16" s="387">
        <f t="shared" si="16"/>
        <v>90414</v>
      </c>
      <c r="L16" s="387">
        <f t="shared" si="16"/>
        <v>12500</v>
      </c>
      <c r="M16" s="387">
        <f t="shared" ref="M16" si="17">M17</f>
        <v>94181.25</v>
      </c>
      <c r="N16" s="409">
        <f t="shared" si="13"/>
        <v>105.26315789473684</v>
      </c>
      <c r="O16" s="427">
        <f t="shared" si="14"/>
        <v>104.16666666666667</v>
      </c>
    </row>
    <row r="17" spans="1:15" ht="13.8" hidden="1" x14ac:dyDescent="0.25">
      <c r="A17" s="395" t="s">
        <v>389</v>
      </c>
      <c r="B17" s="488"/>
      <c r="C17" s="391">
        <v>3121</v>
      </c>
      <c r="D17" s="392" t="s">
        <v>43</v>
      </c>
      <c r="E17" s="387">
        <v>14000</v>
      </c>
      <c r="F17" s="387">
        <v>70000</v>
      </c>
      <c r="G17" s="387">
        <f>F17/7.5345</f>
        <v>9290.596589023824</v>
      </c>
      <c r="H17" s="387">
        <v>11400</v>
      </c>
      <c r="I17" s="580">
        <f>H17*7.5345</f>
        <v>85893.3</v>
      </c>
      <c r="J17" s="387">
        <v>12000</v>
      </c>
      <c r="K17" s="580">
        <f>J17*7.5345</f>
        <v>90414</v>
      </c>
      <c r="L17" s="387">
        <v>12500</v>
      </c>
      <c r="M17" s="580">
        <f>L17*7.5345</f>
        <v>94181.25</v>
      </c>
      <c r="N17" s="409">
        <f t="shared" si="13"/>
        <v>105.26315789473684</v>
      </c>
      <c r="O17" s="427">
        <f t="shared" si="14"/>
        <v>104.16666666666667</v>
      </c>
    </row>
    <row r="18" spans="1:15" ht="13.8" x14ac:dyDescent="0.25">
      <c r="A18" s="395" t="s">
        <v>389</v>
      </c>
      <c r="B18" s="488"/>
      <c r="C18" s="391">
        <v>313</v>
      </c>
      <c r="D18" s="392" t="s">
        <v>44</v>
      </c>
      <c r="E18" s="387">
        <v>68800</v>
      </c>
      <c r="F18" s="387">
        <f t="shared" ref="F18:M18" si="18">F19</f>
        <v>93000</v>
      </c>
      <c r="G18" s="387">
        <f t="shared" si="18"/>
        <v>12343.221182560223</v>
      </c>
      <c r="H18" s="387">
        <f t="shared" si="18"/>
        <v>18800</v>
      </c>
      <c r="I18" s="387">
        <f t="shared" si="18"/>
        <v>141648.6</v>
      </c>
      <c r="J18" s="387">
        <f t="shared" si="18"/>
        <v>19500</v>
      </c>
      <c r="K18" s="387">
        <f t="shared" si="18"/>
        <v>146922.75</v>
      </c>
      <c r="L18" s="387">
        <f t="shared" si="18"/>
        <v>20000</v>
      </c>
      <c r="M18" s="580">
        <f t="shared" si="18"/>
        <v>150690</v>
      </c>
      <c r="N18" s="409">
        <f t="shared" si="13"/>
        <v>103.72340425531914</v>
      </c>
      <c r="O18" s="427">
        <f t="shared" si="14"/>
        <v>102.56410256410255</v>
      </c>
    </row>
    <row r="19" spans="1:15" ht="13.8" hidden="1" x14ac:dyDescent="0.25">
      <c r="A19" s="395" t="s">
        <v>389</v>
      </c>
      <c r="B19" s="488"/>
      <c r="C19" s="391">
        <v>3132</v>
      </c>
      <c r="D19" s="392" t="s">
        <v>185</v>
      </c>
      <c r="E19" s="387">
        <v>62000</v>
      </c>
      <c r="F19" s="387">
        <v>93000</v>
      </c>
      <c r="G19" s="387">
        <f>F19/7.5345</f>
        <v>12343.221182560223</v>
      </c>
      <c r="H19" s="387">
        <v>18800</v>
      </c>
      <c r="I19" s="580">
        <f>H19*7.5345</f>
        <v>141648.6</v>
      </c>
      <c r="J19" s="387">
        <v>19500</v>
      </c>
      <c r="K19" s="580">
        <f>J19*7.5345</f>
        <v>146922.75</v>
      </c>
      <c r="L19" s="387">
        <v>20000</v>
      </c>
      <c r="M19" s="580">
        <f>L19*7.5345</f>
        <v>150690</v>
      </c>
      <c r="N19" s="409">
        <f t="shared" si="13"/>
        <v>103.72340425531914</v>
      </c>
      <c r="O19" s="427">
        <f t="shared" si="14"/>
        <v>102.56410256410255</v>
      </c>
    </row>
    <row r="20" spans="1:15" s="29" customFormat="1" ht="13.8" x14ac:dyDescent="0.25">
      <c r="A20" s="429" t="s">
        <v>389</v>
      </c>
      <c r="B20" s="489"/>
      <c r="C20" s="378">
        <v>32</v>
      </c>
      <c r="D20" s="389" t="s">
        <v>47</v>
      </c>
      <c r="E20" s="386">
        <v>41500</v>
      </c>
      <c r="F20" s="386">
        <f t="shared" ref="F20:M20" si="19">F21</f>
        <v>56000</v>
      </c>
      <c r="G20" s="386">
        <f t="shared" si="19"/>
        <v>7432.4772712190588</v>
      </c>
      <c r="H20" s="386">
        <f t="shared" si="19"/>
        <v>10000</v>
      </c>
      <c r="I20" s="386">
        <f t="shared" si="19"/>
        <v>75345</v>
      </c>
      <c r="J20" s="386">
        <f t="shared" si="19"/>
        <v>11000</v>
      </c>
      <c r="K20" s="386">
        <f t="shared" si="19"/>
        <v>82879.5</v>
      </c>
      <c r="L20" s="386">
        <f t="shared" si="19"/>
        <v>11500</v>
      </c>
      <c r="M20" s="581">
        <f t="shared" si="19"/>
        <v>86646.75</v>
      </c>
      <c r="N20" s="409">
        <f t="shared" si="13"/>
        <v>110.00000000000001</v>
      </c>
      <c r="O20" s="427">
        <f t="shared" si="14"/>
        <v>104.54545454545455</v>
      </c>
    </row>
    <row r="21" spans="1:15" ht="14.4" thickBot="1" x14ac:dyDescent="0.3">
      <c r="A21" s="395" t="s">
        <v>389</v>
      </c>
      <c r="B21" s="488"/>
      <c r="C21" s="391">
        <v>321</v>
      </c>
      <c r="D21" s="392" t="s">
        <v>48</v>
      </c>
      <c r="E21" s="387">
        <f t="shared" ref="E21:L21" si="20">SUM(E22:E25)</f>
        <v>41500</v>
      </c>
      <c r="F21" s="387">
        <f t="shared" si="20"/>
        <v>56000</v>
      </c>
      <c r="G21" s="387">
        <f t="shared" si="20"/>
        <v>7432.4772712190588</v>
      </c>
      <c r="H21" s="387">
        <f t="shared" si="20"/>
        <v>10000</v>
      </c>
      <c r="I21" s="387">
        <f t="shared" si="20"/>
        <v>75345</v>
      </c>
      <c r="J21" s="387">
        <f t="shared" si="20"/>
        <v>11000</v>
      </c>
      <c r="K21" s="387">
        <f t="shared" si="20"/>
        <v>82879.5</v>
      </c>
      <c r="L21" s="387">
        <f t="shared" si="20"/>
        <v>11500</v>
      </c>
      <c r="M21" s="580">
        <f t="shared" ref="M21" si="21">SUM(M22:M25)</f>
        <v>86646.75</v>
      </c>
      <c r="N21" s="409">
        <f t="shared" si="13"/>
        <v>110.00000000000001</v>
      </c>
      <c r="O21" s="427">
        <f t="shared" si="14"/>
        <v>104.54545454545455</v>
      </c>
    </row>
    <row r="22" spans="1:15" ht="13.8" hidden="1" x14ac:dyDescent="0.25">
      <c r="A22" s="395" t="s">
        <v>389</v>
      </c>
      <c r="B22" s="488"/>
      <c r="C22" s="391">
        <v>3211</v>
      </c>
      <c r="D22" s="392" t="s">
        <v>49</v>
      </c>
      <c r="E22" s="387">
        <v>7500</v>
      </c>
      <c r="F22" s="387">
        <v>10000</v>
      </c>
      <c r="G22" s="387">
        <f>F22/7.5345</f>
        <v>1327.2280841462605</v>
      </c>
      <c r="H22" s="387">
        <v>2000</v>
      </c>
      <c r="I22" s="580">
        <f>H22*7.5345</f>
        <v>15069</v>
      </c>
      <c r="J22" s="387">
        <v>2500</v>
      </c>
      <c r="K22" s="580">
        <f>J22*7.5345</f>
        <v>18836.25</v>
      </c>
      <c r="L22" s="387">
        <v>2500</v>
      </c>
      <c r="M22" s="580">
        <f>L22*7.5345</f>
        <v>18836.25</v>
      </c>
      <c r="N22" s="409">
        <f t="shared" si="13"/>
        <v>125</v>
      </c>
      <c r="O22" s="427">
        <f t="shared" si="14"/>
        <v>100</v>
      </c>
    </row>
    <row r="23" spans="1:15" ht="13.8" hidden="1" x14ac:dyDescent="0.25">
      <c r="A23" s="395" t="s">
        <v>389</v>
      </c>
      <c r="B23" s="488"/>
      <c r="C23" s="391">
        <v>3212</v>
      </c>
      <c r="D23" s="392" t="s">
        <v>50</v>
      </c>
      <c r="E23" s="387">
        <v>18000</v>
      </c>
      <c r="F23" s="387">
        <v>30000</v>
      </c>
      <c r="G23" s="387">
        <f>F23/7.5345</f>
        <v>3981.6842524387812</v>
      </c>
      <c r="H23" s="387">
        <v>5000</v>
      </c>
      <c r="I23" s="580">
        <f>H23*7.5345</f>
        <v>37672.5</v>
      </c>
      <c r="J23" s="387">
        <v>5500</v>
      </c>
      <c r="K23" s="580">
        <f>J23*7.5345</f>
        <v>41439.75</v>
      </c>
      <c r="L23" s="387">
        <v>6000</v>
      </c>
      <c r="M23" s="580">
        <f>L23*7.5345</f>
        <v>45207</v>
      </c>
      <c r="N23" s="409">
        <f t="shared" si="13"/>
        <v>110.00000000000001</v>
      </c>
      <c r="O23" s="427">
        <f t="shared" si="14"/>
        <v>109.09090909090908</v>
      </c>
    </row>
    <row r="24" spans="1:15" ht="13.8" hidden="1" x14ac:dyDescent="0.25">
      <c r="A24" s="395" t="s">
        <v>389</v>
      </c>
      <c r="B24" s="488"/>
      <c r="C24" s="391">
        <v>3213</v>
      </c>
      <c r="D24" s="392" t="s">
        <v>51</v>
      </c>
      <c r="E24" s="387">
        <v>10000</v>
      </c>
      <c r="F24" s="387">
        <v>10000</v>
      </c>
      <c r="G24" s="387">
        <f>F24/7.5345</f>
        <v>1327.2280841462605</v>
      </c>
      <c r="H24" s="387">
        <v>2000</v>
      </c>
      <c r="I24" s="580">
        <f>H24*7.5345</f>
        <v>15069</v>
      </c>
      <c r="J24" s="387">
        <v>2000</v>
      </c>
      <c r="K24" s="580">
        <f>J24*7.5345</f>
        <v>15069</v>
      </c>
      <c r="L24" s="387">
        <v>2000</v>
      </c>
      <c r="M24" s="580">
        <f>L24*7.5345</f>
        <v>15069</v>
      </c>
      <c r="N24" s="409">
        <f t="shared" si="13"/>
        <v>100</v>
      </c>
      <c r="O24" s="427">
        <f t="shared" si="14"/>
        <v>100</v>
      </c>
    </row>
    <row r="25" spans="1:15" s="415" customFormat="1" ht="14.4" hidden="1" thickBot="1" x14ac:dyDescent="0.3">
      <c r="A25" s="430" t="s">
        <v>389</v>
      </c>
      <c r="B25" s="490"/>
      <c r="C25" s="411">
        <v>3214</v>
      </c>
      <c r="D25" s="412" t="s">
        <v>187</v>
      </c>
      <c r="E25" s="413">
        <v>6000</v>
      </c>
      <c r="F25" s="413">
        <v>6000</v>
      </c>
      <c r="G25" s="413">
        <f>F25/7.5345</f>
        <v>796.33685048775624</v>
      </c>
      <c r="H25" s="413">
        <v>1000</v>
      </c>
      <c r="I25" s="582">
        <f>H25*7.5345</f>
        <v>7534.5</v>
      </c>
      <c r="J25" s="413">
        <v>1000</v>
      </c>
      <c r="K25" s="582">
        <f>J25*7.5345</f>
        <v>7534.5</v>
      </c>
      <c r="L25" s="413">
        <v>1000</v>
      </c>
      <c r="M25" s="582">
        <f>L25*7.5345</f>
        <v>7534.5</v>
      </c>
      <c r="N25" s="479">
        <f t="shared" si="13"/>
        <v>100</v>
      </c>
      <c r="O25" s="480">
        <f t="shared" si="14"/>
        <v>100</v>
      </c>
    </row>
    <row r="26" spans="1:15" ht="13.8" x14ac:dyDescent="0.25">
      <c r="A26" s="426"/>
      <c r="B26" s="42"/>
      <c r="C26" s="42"/>
      <c r="D26" s="420" t="s">
        <v>178</v>
      </c>
      <c r="E26" s="410"/>
      <c r="F26" s="577"/>
      <c r="G26" s="577"/>
      <c r="H26" s="396"/>
      <c r="I26" s="577"/>
      <c r="J26" s="396"/>
      <c r="K26" s="577"/>
      <c r="L26" s="396"/>
      <c r="M26" s="577"/>
      <c r="N26" s="942">
        <f>AVERAGE(J28/H28*100)</f>
        <v>108.75640428504892</v>
      </c>
      <c r="O26" s="944">
        <f>AVERAGE(L28/J28*100)</f>
        <v>100.85653104925055</v>
      </c>
    </row>
    <row r="27" spans="1:15" ht="13.8" x14ac:dyDescent="0.25">
      <c r="A27" s="426"/>
      <c r="B27" s="42"/>
      <c r="C27" s="42"/>
      <c r="D27" s="421" t="s">
        <v>671</v>
      </c>
      <c r="E27" s="403"/>
      <c r="F27" s="396"/>
      <c r="G27" s="396"/>
      <c r="H27" s="396"/>
      <c r="I27" s="577"/>
      <c r="J27" s="396"/>
      <c r="K27" s="577"/>
      <c r="L27" s="396"/>
      <c r="M27" s="577"/>
      <c r="N27" s="943"/>
      <c r="O27" s="945"/>
    </row>
    <row r="28" spans="1:15" s="117" customFormat="1" ht="15.6" x14ac:dyDescent="0.3">
      <c r="A28" s="453"/>
      <c r="B28" s="454"/>
      <c r="C28" s="454"/>
      <c r="D28" s="455" t="s">
        <v>416</v>
      </c>
      <c r="E28" s="456">
        <f t="shared" ref="E28:I28" si="22">SUM(E29+E52)</f>
        <v>424222.06</v>
      </c>
      <c r="F28" s="457">
        <f t="shared" si="22"/>
        <v>726500</v>
      </c>
      <c r="G28" s="457">
        <f t="shared" si="22"/>
        <v>96423.120313225838</v>
      </c>
      <c r="H28" s="457">
        <f t="shared" si="22"/>
        <v>107350</v>
      </c>
      <c r="I28" s="578">
        <f t="shared" si="22"/>
        <v>805061.32499999995</v>
      </c>
      <c r="J28" s="457">
        <f t="shared" ref="J28:L28" si="23">SUM(J29+J52)</f>
        <v>116750</v>
      </c>
      <c r="K28" s="578">
        <f t="shared" ref="K28:M28" si="24">SUM(K29+K52)</f>
        <v>875885.625</v>
      </c>
      <c r="L28" s="457">
        <f t="shared" si="23"/>
        <v>117750</v>
      </c>
      <c r="M28" s="578">
        <f t="shared" si="24"/>
        <v>883420.125</v>
      </c>
      <c r="N28" s="943"/>
      <c r="O28" s="945"/>
    </row>
    <row r="29" spans="1:15" s="29" customFormat="1" ht="13.8" x14ac:dyDescent="0.25">
      <c r="A29" s="384" t="s">
        <v>390</v>
      </c>
      <c r="B29" s="487"/>
      <c r="C29" s="416">
        <v>32</v>
      </c>
      <c r="D29" s="393" t="s">
        <v>47</v>
      </c>
      <c r="E29" s="405">
        <f t="shared" ref="E29:I29" si="25">SUM(E30+E36+E45+E47)</f>
        <v>407022.06</v>
      </c>
      <c r="F29" s="405">
        <f t="shared" si="25"/>
        <v>691500</v>
      </c>
      <c r="G29" s="405">
        <f t="shared" si="25"/>
        <v>91777.822018713923</v>
      </c>
      <c r="H29" s="405">
        <f t="shared" si="25"/>
        <v>102750</v>
      </c>
      <c r="I29" s="579">
        <f t="shared" si="25"/>
        <v>770402.625</v>
      </c>
      <c r="J29" s="405">
        <f t="shared" ref="J29:L29" si="26">SUM(J30+J36+J45+J47)</f>
        <v>111750</v>
      </c>
      <c r="K29" s="579">
        <f t="shared" ref="K29:M29" si="27">SUM(K30+K36+K45+K47)</f>
        <v>838213.125</v>
      </c>
      <c r="L29" s="405">
        <f t="shared" si="26"/>
        <v>112250</v>
      </c>
      <c r="M29" s="579">
        <f t="shared" si="27"/>
        <v>841980.375</v>
      </c>
      <c r="N29" s="409">
        <f t="shared" ref="N29:N56" si="28">AVERAGE(J29/H29*100)</f>
        <v>108.75912408759123</v>
      </c>
      <c r="O29" s="427">
        <f>AVERAGE(L29/J29*100)</f>
        <v>100.44742729306489</v>
      </c>
    </row>
    <row r="30" spans="1:15" ht="13.8" x14ac:dyDescent="0.25">
      <c r="A30" s="395" t="s">
        <v>390</v>
      </c>
      <c r="B30" s="488"/>
      <c r="C30" s="391">
        <v>322</v>
      </c>
      <c r="D30" s="392" t="s">
        <v>52</v>
      </c>
      <c r="E30" s="387">
        <f t="shared" ref="E30:L30" si="29">SUM(E31:E35)</f>
        <v>83022.06</v>
      </c>
      <c r="F30" s="387">
        <f t="shared" si="29"/>
        <v>112000</v>
      </c>
      <c r="G30" s="387">
        <f t="shared" si="29"/>
        <v>14864.954542438118</v>
      </c>
      <c r="H30" s="387">
        <f t="shared" si="29"/>
        <v>16250</v>
      </c>
      <c r="I30" s="387">
        <f t="shared" si="29"/>
        <v>118668.375</v>
      </c>
      <c r="J30" s="387">
        <f t="shared" si="29"/>
        <v>18250</v>
      </c>
      <c r="K30" s="387">
        <f t="shared" si="29"/>
        <v>133737.375</v>
      </c>
      <c r="L30" s="387">
        <f t="shared" si="29"/>
        <v>18750</v>
      </c>
      <c r="M30" s="580">
        <f t="shared" ref="M30" si="30">SUM(M31:M35)</f>
        <v>137504.625</v>
      </c>
      <c r="N30" s="409">
        <f t="shared" si="28"/>
        <v>112.30769230769231</v>
      </c>
      <c r="O30" s="427">
        <f t="shared" ref="O30:O31" si="31">AVERAGE(L30/J30*100)</f>
        <v>102.73972602739727</v>
      </c>
    </row>
    <row r="31" spans="1:15" ht="13.8" hidden="1" x14ac:dyDescent="0.25">
      <c r="A31" s="395" t="s">
        <v>390</v>
      </c>
      <c r="B31" s="488"/>
      <c r="C31" s="391">
        <v>3221</v>
      </c>
      <c r="D31" s="392" t="s">
        <v>53</v>
      </c>
      <c r="E31" s="387">
        <v>16000</v>
      </c>
      <c r="F31" s="387">
        <v>25000</v>
      </c>
      <c r="G31" s="387">
        <f>F31/7.5345</f>
        <v>3318.0702103656513</v>
      </c>
      <c r="H31" s="387">
        <v>4000</v>
      </c>
      <c r="I31" s="580">
        <f>H31*7.5345</f>
        <v>30138</v>
      </c>
      <c r="J31" s="387">
        <v>4000</v>
      </c>
      <c r="K31" s="580">
        <f>J31*7.5345</f>
        <v>30138</v>
      </c>
      <c r="L31" s="387">
        <v>4000</v>
      </c>
      <c r="M31" s="580">
        <f>L31*7.5345</f>
        <v>30138</v>
      </c>
      <c r="N31" s="409">
        <f t="shared" si="28"/>
        <v>100</v>
      </c>
      <c r="O31" s="427">
        <f t="shared" si="31"/>
        <v>100</v>
      </c>
    </row>
    <row r="32" spans="1:15" ht="13.8" hidden="1" x14ac:dyDescent="0.25">
      <c r="A32" s="395" t="s">
        <v>390</v>
      </c>
      <c r="B32" s="488"/>
      <c r="C32" s="391">
        <v>3223</v>
      </c>
      <c r="D32" s="392" t="s">
        <v>54</v>
      </c>
      <c r="E32" s="387">
        <v>50000</v>
      </c>
      <c r="F32" s="387">
        <v>70000</v>
      </c>
      <c r="G32" s="387">
        <f>F32/7.5345</f>
        <v>9290.596589023824</v>
      </c>
      <c r="H32" s="387">
        <v>9500</v>
      </c>
      <c r="I32" s="580">
        <f>H32*7.5345</f>
        <v>71577.75</v>
      </c>
      <c r="J32" s="387">
        <v>11000</v>
      </c>
      <c r="K32" s="580">
        <f>J32*7.5345</f>
        <v>82879.5</v>
      </c>
      <c r="L32" s="387">
        <v>11000</v>
      </c>
      <c r="M32" s="580">
        <f>L32*7.5345</f>
        <v>82879.5</v>
      </c>
      <c r="N32" s="409">
        <f t="shared" si="28"/>
        <v>115.78947368421053</v>
      </c>
      <c r="O32" s="427">
        <f t="shared" ref="O32:O56" si="32">AVERAGE(L32/J32*100)</f>
        <v>100</v>
      </c>
    </row>
    <row r="33" spans="1:15" ht="13.8" hidden="1" x14ac:dyDescent="0.25">
      <c r="A33" s="395" t="s">
        <v>390</v>
      </c>
      <c r="B33" s="488"/>
      <c r="C33" s="391">
        <v>3224</v>
      </c>
      <c r="D33" s="392" t="s">
        <v>189</v>
      </c>
      <c r="E33" s="387">
        <v>0</v>
      </c>
      <c r="F33" s="387">
        <v>2000</v>
      </c>
      <c r="G33" s="387">
        <f>F33/7.5345</f>
        <v>265.44561682925212</v>
      </c>
      <c r="H33" s="387">
        <v>250</v>
      </c>
      <c r="I33" s="580">
        <f>H33*7.5345</f>
        <v>1883.625</v>
      </c>
      <c r="J33" s="387">
        <v>250</v>
      </c>
      <c r="K33" s="580">
        <f>J33*7.5345</f>
        <v>1883.625</v>
      </c>
      <c r="L33" s="387">
        <v>250</v>
      </c>
      <c r="M33" s="580">
        <f>L33*7.5345</f>
        <v>1883.625</v>
      </c>
      <c r="N33" s="409">
        <f t="shared" si="28"/>
        <v>100</v>
      </c>
      <c r="O33" s="427">
        <f t="shared" si="32"/>
        <v>100</v>
      </c>
    </row>
    <row r="34" spans="1:15" ht="13.8" hidden="1" x14ac:dyDescent="0.25">
      <c r="A34" s="395" t="s">
        <v>390</v>
      </c>
      <c r="B34" s="488"/>
      <c r="C34" s="391">
        <v>3225</v>
      </c>
      <c r="D34" s="392" t="s">
        <v>190</v>
      </c>
      <c r="E34" s="387">
        <v>15022.06</v>
      </c>
      <c r="F34" s="387">
        <v>15000</v>
      </c>
      <c r="G34" s="387">
        <f>F34/7.5345</f>
        <v>1990.8421262193906</v>
      </c>
      <c r="H34" s="387">
        <v>2000</v>
      </c>
      <c r="I34" s="580">
        <f>H34*7.5345</f>
        <v>15069</v>
      </c>
      <c r="J34" s="387">
        <v>2500</v>
      </c>
      <c r="K34" s="580">
        <f>J34*7.5345</f>
        <v>18836.25</v>
      </c>
      <c r="L34" s="387">
        <v>3000</v>
      </c>
      <c r="M34" s="580">
        <f>L34*7.5345</f>
        <v>22603.5</v>
      </c>
      <c r="N34" s="409">
        <f t="shared" si="28"/>
        <v>125</v>
      </c>
      <c r="O34" s="427">
        <f t="shared" si="32"/>
        <v>120</v>
      </c>
    </row>
    <row r="35" spans="1:15" ht="13.8" hidden="1" x14ac:dyDescent="0.25">
      <c r="A35" s="395" t="s">
        <v>390</v>
      </c>
      <c r="B35" s="488"/>
      <c r="C35" s="391">
        <v>3227</v>
      </c>
      <c r="D35" s="392" t="s">
        <v>391</v>
      </c>
      <c r="E35" s="387">
        <v>2000</v>
      </c>
      <c r="F35" s="387">
        <v>0</v>
      </c>
      <c r="G35" s="387">
        <v>0</v>
      </c>
      <c r="H35" s="387">
        <v>500</v>
      </c>
      <c r="I35" s="580">
        <v>0</v>
      </c>
      <c r="J35" s="387">
        <v>500</v>
      </c>
      <c r="K35" s="580">
        <v>0</v>
      </c>
      <c r="L35" s="387">
        <v>500</v>
      </c>
      <c r="M35" s="580">
        <v>0</v>
      </c>
      <c r="N35" s="409">
        <f t="shared" si="28"/>
        <v>100</v>
      </c>
      <c r="O35" s="427">
        <f t="shared" si="32"/>
        <v>100</v>
      </c>
    </row>
    <row r="36" spans="1:15" ht="13.8" x14ac:dyDescent="0.25">
      <c r="A36" s="395" t="s">
        <v>390</v>
      </c>
      <c r="B36" s="488"/>
      <c r="C36" s="391">
        <v>323</v>
      </c>
      <c r="D36" s="392" t="s">
        <v>56</v>
      </c>
      <c r="E36" s="387">
        <f t="shared" ref="E36:L36" si="33">SUM(E37:E44)</f>
        <v>269000</v>
      </c>
      <c r="F36" s="387">
        <f t="shared" si="33"/>
        <v>449500</v>
      </c>
      <c r="G36" s="387">
        <f t="shared" si="33"/>
        <v>59658.902382374406</v>
      </c>
      <c r="H36" s="387">
        <f t="shared" si="33"/>
        <v>62500</v>
      </c>
      <c r="I36" s="387">
        <f t="shared" si="33"/>
        <v>470906.25</v>
      </c>
      <c r="J36" s="387">
        <f t="shared" si="33"/>
        <v>68000</v>
      </c>
      <c r="K36" s="387">
        <f t="shared" si="33"/>
        <v>512346</v>
      </c>
      <c r="L36" s="387">
        <f t="shared" si="33"/>
        <v>67000</v>
      </c>
      <c r="M36" s="580">
        <f t="shared" ref="M36" si="34">SUM(M37:M44)</f>
        <v>504811.5</v>
      </c>
      <c r="N36" s="409">
        <f t="shared" si="28"/>
        <v>108.80000000000001</v>
      </c>
      <c r="O36" s="427">
        <f t="shared" si="32"/>
        <v>98.529411764705884</v>
      </c>
    </row>
    <row r="37" spans="1:15" ht="13.8" hidden="1" x14ac:dyDescent="0.25">
      <c r="A37" s="395" t="s">
        <v>390</v>
      </c>
      <c r="B37" s="488"/>
      <c r="C37" s="391">
        <v>3231</v>
      </c>
      <c r="D37" s="392" t="s">
        <v>57</v>
      </c>
      <c r="E37" s="387">
        <v>30000</v>
      </c>
      <c r="F37" s="387">
        <v>45000</v>
      </c>
      <c r="G37" s="387">
        <f t="shared" ref="G37:G44" si="35">F37/7.5345</f>
        <v>5972.5263786581718</v>
      </c>
      <c r="H37" s="387">
        <v>6000</v>
      </c>
      <c r="I37" s="580">
        <f t="shared" ref="I37:M44" si="36">H37*7.5345</f>
        <v>45207</v>
      </c>
      <c r="J37" s="387">
        <v>6500</v>
      </c>
      <c r="K37" s="580">
        <f t="shared" si="36"/>
        <v>48974.25</v>
      </c>
      <c r="L37" s="387">
        <v>7000</v>
      </c>
      <c r="M37" s="580">
        <f t="shared" si="36"/>
        <v>52741.5</v>
      </c>
      <c r="N37" s="409">
        <f t="shared" si="28"/>
        <v>108.33333333333333</v>
      </c>
      <c r="O37" s="427">
        <f t="shared" si="32"/>
        <v>107.69230769230769</v>
      </c>
    </row>
    <row r="38" spans="1:15" ht="13.8" hidden="1" x14ac:dyDescent="0.25">
      <c r="A38" s="395" t="s">
        <v>390</v>
      </c>
      <c r="B38" s="488"/>
      <c r="C38" s="391">
        <v>3232</v>
      </c>
      <c r="D38" s="392" t="s">
        <v>392</v>
      </c>
      <c r="E38" s="387">
        <v>5000</v>
      </c>
      <c r="F38" s="387">
        <v>7000</v>
      </c>
      <c r="G38" s="387">
        <f t="shared" si="35"/>
        <v>929.05965890238235</v>
      </c>
      <c r="H38" s="387">
        <v>1000</v>
      </c>
      <c r="I38" s="580">
        <f t="shared" si="36"/>
        <v>7534.5</v>
      </c>
      <c r="J38" s="387">
        <v>1000</v>
      </c>
      <c r="K38" s="580">
        <f t="shared" si="36"/>
        <v>7534.5</v>
      </c>
      <c r="L38" s="387">
        <v>1000</v>
      </c>
      <c r="M38" s="580">
        <f t="shared" si="36"/>
        <v>7534.5</v>
      </c>
      <c r="N38" s="409">
        <f t="shared" si="28"/>
        <v>100</v>
      </c>
      <c r="O38" s="427">
        <f t="shared" si="32"/>
        <v>100</v>
      </c>
    </row>
    <row r="39" spans="1:15" ht="13.8" hidden="1" x14ac:dyDescent="0.25">
      <c r="A39" s="395" t="s">
        <v>390</v>
      </c>
      <c r="B39" s="488"/>
      <c r="C39" s="391">
        <v>3233</v>
      </c>
      <c r="D39" s="392" t="s">
        <v>59</v>
      </c>
      <c r="E39" s="387">
        <v>25000</v>
      </c>
      <c r="F39" s="387">
        <v>25000</v>
      </c>
      <c r="G39" s="387">
        <f t="shared" si="35"/>
        <v>3318.0702103656513</v>
      </c>
      <c r="H39" s="387">
        <v>5000</v>
      </c>
      <c r="I39" s="580">
        <f t="shared" si="36"/>
        <v>37672.5</v>
      </c>
      <c r="J39" s="387">
        <v>5500</v>
      </c>
      <c r="K39" s="580">
        <f t="shared" si="36"/>
        <v>41439.75</v>
      </c>
      <c r="L39" s="387">
        <v>6000</v>
      </c>
      <c r="M39" s="580">
        <f t="shared" si="36"/>
        <v>45207</v>
      </c>
      <c r="N39" s="409">
        <f t="shared" si="28"/>
        <v>110.00000000000001</v>
      </c>
      <c r="O39" s="427">
        <f t="shared" si="32"/>
        <v>109.09090909090908</v>
      </c>
    </row>
    <row r="40" spans="1:15" ht="13.8" hidden="1" x14ac:dyDescent="0.25">
      <c r="A40" s="395" t="s">
        <v>390</v>
      </c>
      <c r="B40" s="488"/>
      <c r="C40" s="391">
        <v>3234</v>
      </c>
      <c r="D40" s="392" t="s">
        <v>60</v>
      </c>
      <c r="E40" s="387">
        <v>15000</v>
      </c>
      <c r="F40" s="387">
        <v>40000</v>
      </c>
      <c r="G40" s="387">
        <f t="shared" si="35"/>
        <v>5308.9123365850419</v>
      </c>
      <c r="H40" s="387">
        <v>8000</v>
      </c>
      <c r="I40" s="580">
        <f t="shared" si="36"/>
        <v>60276</v>
      </c>
      <c r="J40" s="387">
        <v>9000</v>
      </c>
      <c r="K40" s="580">
        <f t="shared" si="36"/>
        <v>67810.5</v>
      </c>
      <c r="L40" s="387">
        <v>9000</v>
      </c>
      <c r="M40" s="580">
        <f t="shared" si="36"/>
        <v>67810.5</v>
      </c>
      <c r="N40" s="409">
        <f t="shared" si="28"/>
        <v>112.5</v>
      </c>
      <c r="O40" s="427">
        <f t="shared" si="32"/>
        <v>100</v>
      </c>
    </row>
    <row r="41" spans="1:15" ht="13.8" hidden="1" x14ac:dyDescent="0.25">
      <c r="A41" s="395" t="s">
        <v>390</v>
      </c>
      <c r="B41" s="488"/>
      <c r="C41" s="391">
        <v>3236</v>
      </c>
      <c r="D41" s="392" t="s">
        <v>393</v>
      </c>
      <c r="E41" s="387">
        <v>2000</v>
      </c>
      <c r="F41" s="387">
        <v>7500</v>
      </c>
      <c r="G41" s="387">
        <f t="shared" si="35"/>
        <v>995.4210631096953</v>
      </c>
      <c r="H41" s="728">
        <v>0</v>
      </c>
      <c r="I41" s="735">
        <f t="shared" si="36"/>
        <v>0</v>
      </c>
      <c r="J41" s="728">
        <v>2000</v>
      </c>
      <c r="K41" s="735">
        <f t="shared" si="36"/>
        <v>15069</v>
      </c>
      <c r="L41" s="728">
        <v>0</v>
      </c>
      <c r="M41" s="580">
        <f t="shared" si="36"/>
        <v>0</v>
      </c>
      <c r="N41" s="409" t="e">
        <f t="shared" si="28"/>
        <v>#DIV/0!</v>
      </c>
      <c r="O41" s="427">
        <f t="shared" si="32"/>
        <v>0</v>
      </c>
    </row>
    <row r="42" spans="1:15" ht="13.8" hidden="1" x14ac:dyDescent="0.25">
      <c r="A42" s="395" t="s">
        <v>390</v>
      </c>
      <c r="B42" s="488"/>
      <c r="C42" s="391">
        <v>3237</v>
      </c>
      <c r="D42" s="392" t="s">
        <v>62</v>
      </c>
      <c r="E42" s="387">
        <v>140000</v>
      </c>
      <c r="F42" s="387">
        <v>200000</v>
      </c>
      <c r="G42" s="387">
        <f t="shared" si="35"/>
        <v>26544.56168292521</v>
      </c>
      <c r="H42" s="387">
        <v>25000</v>
      </c>
      <c r="I42" s="580">
        <f t="shared" si="36"/>
        <v>188362.5</v>
      </c>
      <c r="J42" s="387">
        <v>30000</v>
      </c>
      <c r="K42" s="580">
        <f t="shared" si="36"/>
        <v>226035</v>
      </c>
      <c r="L42" s="387">
        <v>30000</v>
      </c>
      <c r="M42" s="580">
        <f t="shared" si="36"/>
        <v>226035</v>
      </c>
      <c r="N42" s="409">
        <f t="shared" si="28"/>
        <v>120</v>
      </c>
      <c r="O42" s="427">
        <f t="shared" si="32"/>
        <v>100</v>
      </c>
    </row>
    <row r="43" spans="1:15" ht="13.8" hidden="1" x14ac:dyDescent="0.25">
      <c r="A43" s="395" t="s">
        <v>390</v>
      </c>
      <c r="B43" s="488"/>
      <c r="C43" s="391">
        <v>3238</v>
      </c>
      <c r="D43" s="392" t="s">
        <v>63</v>
      </c>
      <c r="E43" s="387">
        <v>12000</v>
      </c>
      <c r="F43" s="387">
        <v>25000</v>
      </c>
      <c r="G43" s="387">
        <f t="shared" si="35"/>
        <v>3318.0702103656513</v>
      </c>
      <c r="H43" s="387">
        <v>4000</v>
      </c>
      <c r="I43" s="580">
        <f t="shared" si="36"/>
        <v>30138</v>
      </c>
      <c r="J43" s="387">
        <v>4000</v>
      </c>
      <c r="K43" s="580">
        <f t="shared" si="36"/>
        <v>30138</v>
      </c>
      <c r="L43" s="387">
        <v>4000</v>
      </c>
      <c r="M43" s="580">
        <f t="shared" si="36"/>
        <v>30138</v>
      </c>
      <c r="N43" s="409">
        <f t="shared" si="28"/>
        <v>100</v>
      </c>
      <c r="O43" s="427">
        <f t="shared" si="32"/>
        <v>100</v>
      </c>
    </row>
    <row r="44" spans="1:15" ht="13.8" hidden="1" x14ac:dyDescent="0.25">
      <c r="A44" s="395" t="s">
        <v>390</v>
      </c>
      <c r="B44" s="488"/>
      <c r="C44" s="391">
        <v>3239</v>
      </c>
      <c r="D44" s="392" t="s">
        <v>64</v>
      </c>
      <c r="E44" s="387">
        <v>40000</v>
      </c>
      <c r="F44" s="387">
        <v>100000</v>
      </c>
      <c r="G44" s="387">
        <f t="shared" si="35"/>
        <v>13272.280841462605</v>
      </c>
      <c r="H44" s="387">
        <v>13500</v>
      </c>
      <c r="I44" s="580">
        <f t="shared" si="36"/>
        <v>101715.75</v>
      </c>
      <c r="J44" s="387">
        <v>10000</v>
      </c>
      <c r="K44" s="580">
        <f t="shared" si="36"/>
        <v>75345</v>
      </c>
      <c r="L44" s="387">
        <v>10000</v>
      </c>
      <c r="M44" s="580">
        <f t="shared" si="36"/>
        <v>75345</v>
      </c>
      <c r="N44" s="409">
        <f t="shared" si="28"/>
        <v>74.074074074074076</v>
      </c>
      <c r="O44" s="427">
        <f t="shared" si="32"/>
        <v>100</v>
      </c>
    </row>
    <row r="45" spans="1:15" ht="13.8" x14ac:dyDescent="0.25">
      <c r="A45" s="395" t="s">
        <v>390</v>
      </c>
      <c r="B45" s="488"/>
      <c r="C45" s="391">
        <v>324</v>
      </c>
      <c r="D45" s="392" t="s">
        <v>142</v>
      </c>
      <c r="E45" s="387">
        <v>5000</v>
      </c>
      <c r="F45" s="387">
        <f t="shared" ref="F45:M45" si="37">SUM(F46)</f>
        <v>35000</v>
      </c>
      <c r="G45" s="387">
        <f t="shared" si="37"/>
        <v>4645.298294511912</v>
      </c>
      <c r="H45" s="387">
        <f t="shared" si="37"/>
        <v>6500</v>
      </c>
      <c r="I45" s="387">
        <f t="shared" si="37"/>
        <v>48974.25</v>
      </c>
      <c r="J45" s="387">
        <f t="shared" si="37"/>
        <v>7000</v>
      </c>
      <c r="K45" s="387">
        <f t="shared" si="37"/>
        <v>52741.5</v>
      </c>
      <c r="L45" s="387">
        <f t="shared" si="37"/>
        <v>7000</v>
      </c>
      <c r="M45" s="580">
        <f t="shared" si="37"/>
        <v>52741.5</v>
      </c>
      <c r="N45" s="409">
        <f t="shared" si="28"/>
        <v>107.69230769230769</v>
      </c>
      <c r="O45" s="427">
        <f t="shared" si="32"/>
        <v>100</v>
      </c>
    </row>
    <row r="46" spans="1:15" ht="13.8" hidden="1" x14ac:dyDescent="0.25">
      <c r="A46" s="395" t="s">
        <v>390</v>
      </c>
      <c r="B46" s="488"/>
      <c r="C46" s="391">
        <v>3241</v>
      </c>
      <c r="D46" s="392" t="s">
        <v>142</v>
      </c>
      <c r="E46" s="387">
        <v>5000</v>
      </c>
      <c r="F46" s="387">
        <v>35000</v>
      </c>
      <c r="G46" s="387">
        <f>F46/7.5345</f>
        <v>4645.298294511912</v>
      </c>
      <c r="H46" s="387">
        <v>6500</v>
      </c>
      <c r="I46" s="580">
        <f>H46*7.5345</f>
        <v>48974.25</v>
      </c>
      <c r="J46" s="387">
        <v>7000</v>
      </c>
      <c r="K46" s="580">
        <f>J46*7.5345</f>
        <v>52741.5</v>
      </c>
      <c r="L46" s="387">
        <v>7000</v>
      </c>
      <c r="M46" s="580">
        <f>L46*7.5345</f>
        <v>52741.5</v>
      </c>
      <c r="N46" s="409">
        <f t="shared" si="28"/>
        <v>107.69230769230769</v>
      </c>
      <c r="O46" s="427">
        <f t="shared" si="32"/>
        <v>100</v>
      </c>
    </row>
    <row r="47" spans="1:15" ht="13.8" x14ac:dyDescent="0.25">
      <c r="A47" s="395" t="s">
        <v>390</v>
      </c>
      <c r="B47" s="488"/>
      <c r="C47" s="391">
        <v>329</v>
      </c>
      <c r="D47" s="392" t="s">
        <v>65</v>
      </c>
      <c r="E47" s="387">
        <f t="shared" ref="E47:L47" si="38">SUM(E48:E51)</f>
        <v>50000</v>
      </c>
      <c r="F47" s="387">
        <f t="shared" si="38"/>
        <v>95000</v>
      </c>
      <c r="G47" s="387">
        <f t="shared" si="38"/>
        <v>12608.666799389473</v>
      </c>
      <c r="H47" s="387">
        <f t="shared" si="38"/>
        <v>17500</v>
      </c>
      <c r="I47" s="387">
        <f t="shared" si="38"/>
        <v>131853.75</v>
      </c>
      <c r="J47" s="387">
        <f t="shared" si="38"/>
        <v>18500</v>
      </c>
      <c r="K47" s="387">
        <f t="shared" si="38"/>
        <v>139388.25</v>
      </c>
      <c r="L47" s="387">
        <f t="shared" si="38"/>
        <v>19500</v>
      </c>
      <c r="M47" s="580">
        <f t="shared" ref="M47" si="39">SUM(M48:M51)</f>
        <v>146922.75</v>
      </c>
      <c r="N47" s="409">
        <f t="shared" si="28"/>
        <v>105.71428571428572</v>
      </c>
      <c r="O47" s="427">
        <f t="shared" si="32"/>
        <v>105.40540540540539</v>
      </c>
    </row>
    <row r="48" spans="1:15" ht="13.8" hidden="1" x14ac:dyDescent="0.25">
      <c r="A48" s="395" t="s">
        <v>390</v>
      </c>
      <c r="B48" s="488"/>
      <c r="C48" s="391">
        <v>3292</v>
      </c>
      <c r="D48" s="392" t="s">
        <v>67</v>
      </c>
      <c r="E48" s="387">
        <v>20000</v>
      </c>
      <c r="F48" s="387">
        <v>15000</v>
      </c>
      <c r="G48" s="387">
        <f>F48/7.5345</f>
        <v>1990.8421262193906</v>
      </c>
      <c r="H48" s="387">
        <v>4000</v>
      </c>
      <c r="I48" s="580">
        <f>H48*7.5345</f>
        <v>30138</v>
      </c>
      <c r="J48" s="387">
        <v>5000</v>
      </c>
      <c r="K48" s="580">
        <f>J48*7.5345</f>
        <v>37672.5</v>
      </c>
      <c r="L48" s="387">
        <v>6000</v>
      </c>
      <c r="M48" s="580">
        <f>L48*7.5345</f>
        <v>45207</v>
      </c>
      <c r="N48" s="409">
        <f t="shared" si="28"/>
        <v>125</v>
      </c>
      <c r="O48" s="427">
        <f t="shared" si="32"/>
        <v>120</v>
      </c>
    </row>
    <row r="49" spans="1:15" ht="13.8" hidden="1" x14ac:dyDescent="0.25">
      <c r="A49" s="395" t="s">
        <v>390</v>
      </c>
      <c r="B49" s="488"/>
      <c r="C49" s="391">
        <v>3293</v>
      </c>
      <c r="D49" s="392" t="s">
        <v>68</v>
      </c>
      <c r="E49" s="387">
        <v>10000</v>
      </c>
      <c r="F49" s="387">
        <v>20000</v>
      </c>
      <c r="G49" s="387">
        <f>F49/7.5345</f>
        <v>2654.4561682925209</v>
      </c>
      <c r="H49" s="728">
        <v>5000</v>
      </c>
      <c r="I49" s="735">
        <f>H49*7.5345</f>
        <v>37672.5</v>
      </c>
      <c r="J49" s="728">
        <v>5000</v>
      </c>
      <c r="K49" s="735">
        <f>J49*7.5345</f>
        <v>37672.5</v>
      </c>
      <c r="L49" s="728">
        <v>5000</v>
      </c>
      <c r="M49" s="580">
        <f>L49*7.5345</f>
        <v>37672.5</v>
      </c>
      <c r="N49" s="409">
        <f t="shared" si="28"/>
        <v>100</v>
      </c>
      <c r="O49" s="427">
        <f t="shared" si="32"/>
        <v>100</v>
      </c>
    </row>
    <row r="50" spans="1:15" ht="13.8" hidden="1" x14ac:dyDescent="0.25">
      <c r="A50" s="395" t="s">
        <v>390</v>
      </c>
      <c r="B50" s="488"/>
      <c r="C50" s="391">
        <v>3295</v>
      </c>
      <c r="D50" s="392" t="s">
        <v>193</v>
      </c>
      <c r="E50" s="387">
        <v>10000</v>
      </c>
      <c r="F50" s="387">
        <v>50000</v>
      </c>
      <c r="G50" s="387">
        <f>F50/7.5345</f>
        <v>6636.1404207313026</v>
      </c>
      <c r="H50" s="387">
        <v>7000</v>
      </c>
      <c r="I50" s="580">
        <f>H50*7.5345</f>
        <v>52741.5</v>
      </c>
      <c r="J50" s="387">
        <v>7000</v>
      </c>
      <c r="K50" s="580">
        <f>J50*7.5345</f>
        <v>52741.5</v>
      </c>
      <c r="L50" s="387">
        <v>7000</v>
      </c>
      <c r="M50" s="580">
        <f>L50*7.5345</f>
        <v>52741.5</v>
      </c>
      <c r="N50" s="409">
        <f t="shared" si="28"/>
        <v>100</v>
      </c>
      <c r="O50" s="427">
        <f t="shared" si="32"/>
        <v>100</v>
      </c>
    </row>
    <row r="51" spans="1:15" ht="13.8" hidden="1" x14ac:dyDescent="0.25">
      <c r="A51" s="395" t="s">
        <v>390</v>
      </c>
      <c r="B51" s="488"/>
      <c r="C51" s="391">
        <v>3299</v>
      </c>
      <c r="D51" s="392" t="s">
        <v>65</v>
      </c>
      <c r="E51" s="387">
        <v>10000</v>
      </c>
      <c r="F51" s="387">
        <v>10000</v>
      </c>
      <c r="G51" s="387">
        <f>F51/7.5345</f>
        <v>1327.2280841462605</v>
      </c>
      <c r="H51" s="387">
        <v>1500</v>
      </c>
      <c r="I51" s="580">
        <f>H51*7.5345</f>
        <v>11301.75</v>
      </c>
      <c r="J51" s="387">
        <v>1500</v>
      </c>
      <c r="K51" s="580">
        <f>J51*7.5345</f>
        <v>11301.75</v>
      </c>
      <c r="L51" s="387">
        <v>1500</v>
      </c>
      <c r="M51" s="580">
        <f>L51*7.5345</f>
        <v>11301.75</v>
      </c>
      <c r="N51" s="409">
        <f t="shared" si="28"/>
        <v>100</v>
      </c>
      <c r="O51" s="427">
        <f t="shared" si="32"/>
        <v>100</v>
      </c>
    </row>
    <row r="52" spans="1:15" s="29" customFormat="1" ht="13.8" x14ac:dyDescent="0.25">
      <c r="A52" s="429" t="s">
        <v>390</v>
      </c>
      <c r="B52" s="489"/>
      <c r="C52" s="378">
        <v>34</v>
      </c>
      <c r="D52" s="389" t="s">
        <v>70</v>
      </c>
      <c r="E52" s="386">
        <v>17200</v>
      </c>
      <c r="F52" s="386">
        <f t="shared" ref="F52:M52" si="40">F53</f>
        <v>35000</v>
      </c>
      <c r="G52" s="386">
        <f t="shared" si="40"/>
        <v>4645.2982945119111</v>
      </c>
      <c r="H52" s="386">
        <f t="shared" si="40"/>
        <v>4600</v>
      </c>
      <c r="I52" s="386">
        <f t="shared" si="40"/>
        <v>34658.700000000004</v>
      </c>
      <c r="J52" s="386">
        <f t="shared" si="40"/>
        <v>5000</v>
      </c>
      <c r="K52" s="386">
        <f t="shared" si="40"/>
        <v>37672.5</v>
      </c>
      <c r="L52" s="386">
        <f t="shared" si="40"/>
        <v>5500</v>
      </c>
      <c r="M52" s="581">
        <f t="shared" si="40"/>
        <v>41439.75</v>
      </c>
      <c r="N52" s="409">
        <f t="shared" si="28"/>
        <v>108.69565217391303</v>
      </c>
      <c r="O52" s="427">
        <f t="shared" si="32"/>
        <v>110.00000000000001</v>
      </c>
    </row>
    <row r="53" spans="1:15" ht="12.6" customHeight="1" thickBot="1" x14ac:dyDescent="0.3">
      <c r="A53" s="395" t="s">
        <v>390</v>
      </c>
      <c r="B53" s="488"/>
      <c r="C53" s="391">
        <v>343</v>
      </c>
      <c r="D53" s="392" t="s">
        <v>71</v>
      </c>
      <c r="E53" s="387">
        <f t="shared" ref="E53:L53" si="41">SUM(E54:E56)</f>
        <v>17200</v>
      </c>
      <c r="F53" s="387">
        <f t="shared" si="41"/>
        <v>35000</v>
      </c>
      <c r="G53" s="387">
        <f t="shared" si="41"/>
        <v>4645.2982945119111</v>
      </c>
      <c r="H53" s="387">
        <f t="shared" si="41"/>
        <v>4600</v>
      </c>
      <c r="I53" s="387">
        <f t="shared" si="41"/>
        <v>34658.700000000004</v>
      </c>
      <c r="J53" s="387">
        <f t="shared" si="41"/>
        <v>5000</v>
      </c>
      <c r="K53" s="387">
        <f t="shared" si="41"/>
        <v>37672.5</v>
      </c>
      <c r="L53" s="387">
        <f t="shared" si="41"/>
        <v>5500</v>
      </c>
      <c r="M53" s="580">
        <f t="shared" ref="M53" si="42">SUM(M54:M56)</f>
        <v>41439.75</v>
      </c>
      <c r="N53" s="409">
        <f t="shared" si="28"/>
        <v>108.69565217391303</v>
      </c>
      <c r="O53" s="427">
        <f t="shared" si="32"/>
        <v>110.00000000000001</v>
      </c>
    </row>
    <row r="54" spans="1:15" ht="13.8" hidden="1" x14ac:dyDescent="0.25">
      <c r="A54" s="395" t="s">
        <v>390</v>
      </c>
      <c r="B54" s="488"/>
      <c r="C54" s="391">
        <v>3431</v>
      </c>
      <c r="D54" s="392" t="s">
        <v>72</v>
      </c>
      <c r="E54" s="387">
        <v>12000</v>
      </c>
      <c r="F54" s="387">
        <v>20000</v>
      </c>
      <c r="G54" s="387">
        <f>F54/7.5345</f>
        <v>2654.4561682925209</v>
      </c>
      <c r="H54" s="387">
        <v>2500</v>
      </c>
      <c r="I54" s="580">
        <f>H54*7.5345</f>
        <v>18836.25</v>
      </c>
      <c r="J54" s="387">
        <v>3000</v>
      </c>
      <c r="K54" s="580">
        <f>J54*7.5345</f>
        <v>22603.5</v>
      </c>
      <c r="L54" s="387">
        <v>3500</v>
      </c>
      <c r="M54" s="580">
        <f>L54*7.5345</f>
        <v>26370.75</v>
      </c>
      <c r="N54" s="409">
        <f>AVERAGE(J54/H54*100)</f>
        <v>120</v>
      </c>
      <c r="O54" s="427">
        <f t="shared" si="32"/>
        <v>116.66666666666667</v>
      </c>
    </row>
    <row r="55" spans="1:15" ht="13.8" hidden="1" x14ac:dyDescent="0.25">
      <c r="A55" s="395" t="s">
        <v>390</v>
      </c>
      <c r="B55" s="488"/>
      <c r="C55" s="391">
        <v>3433</v>
      </c>
      <c r="D55" s="392" t="s">
        <v>73</v>
      </c>
      <c r="E55" s="387">
        <v>200</v>
      </c>
      <c r="F55" s="387">
        <v>10000</v>
      </c>
      <c r="G55" s="387">
        <f>F55/7.5345</f>
        <v>1327.2280841462605</v>
      </c>
      <c r="H55" s="387">
        <v>1400</v>
      </c>
      <c r="I55" s="580">
        <f>H55*7.5345</f>
        <v>10548.300000000001</v>
      </c>
      <c r="J55" s="387">
        <v>1000</v>
      </c>
      <c r="K55" s="580">
        <f>J55*7.5345</f>
        <v>7534.5</v>
      </c>
      <c r="L55" s="387">
        <v>1000</v>
      </c>
      <c r="M55" s="580">
        <f>L55*7.5345</f>
        <v>7534.5</v>
      </c>
      <c r="N55" s="409">
        <f>AVERAGE(J55/H55*100)</f>
        <v>71.428571428571431</v>
      </c>
      <c r="O55" s="427">
        <f t="shared" si="32"/>
        <v>100</v>
      </c>
    </row>
    <row r="56" spans="1:15" s="415" customFormat="1" ht="14.4" hidden="1" thickBot="1" x14ac:dyDescent="0.3">
      <c r="A56" s="430" t="s">
        <v>390</v>
      </c>
      <c r="B56" s="490"/>
      <c r="C56" s="411">
        <v>3434</v>
      </c>
      <c r="D56" s="412" t="s">
        <v>74</v>
      </c>
      <c r="E56" s="413">
        <v>5000</v>
      </c>
      <c r="F56" s="413">
        <v>5000</v>
      </c>
      <c r="G56" s="413">
        <f>F56/7.5345</f>
        <v>663.61404207313024</v>
      </c>
      <c r="H56" s="413">
        <v>700</v>
      </c>
      <c r="I56" s="582">
        <f>H56*7.5345</f>
        <v>5274.1500000000005</v>
      </c>
      <c r="J56" s="413">
        <v>1000</v>
      </c>
      <c r="K56" s="582">
        <f>J56*7.5345</f>
        <v>7534.5</v>
      </c>
      <c r="L56" s="413">
        <v>1000</v>
      </c>
      <c r="M56" s="582">
        <f>L56*7.5345</f>
        <v>7534.5</v>
      </c>
      <c r="N56" s="479">
        <f t="shared" si="28"/>
        <v>142.85714285714286</v>
      </c>
      <c r="O56" s="480">
        <f t="shared" si="32"/>
        <v>100</v>
      </c>
    </row>
    <row r="57" spans="1:15" ht="13.8" x14ac:dyDescent="0.25">
      <c r="A57" s="426"/>
      <c r="B57" s="42"/>
      <c r="C57" s="42"/>
      <c r="D57" s="420" t="s">
        <v>178</v>
      </c>
      <c r="E57" s="410"/>
      <c r="F57" s="577"/>
      <c r="G57" s="577"/>
      <c r="H57" s="396"/>
      <c r="I57" s="577"/>
      <c r="J57" s="396"/>
      <c r="K57" s="577"/>
      <c r="L57" s="396"/>
      <c r="M57" s="577"/>
      <c r="N57" s="942">
        <f>AVERAGE(J59/H59*100)</f>
        <v>17.948717948717949</v>
      </c>
      <c r="O57" s="944">
        <f>AVERAGE(L59/J59*100)</f>
        <v>171.42857142857142</v>
      </c>
    </row>
    <row r="58" spans="1:15" ht="13.8" x14ac:dyDescent="0.25">
      <c r="A58" s="426"/>
      <c r="B58" s="42"/>
      <c r="C58" s="42"/>
      <c r="D58" s="420" t="s">
        <v>670</v>
      </c>
      <c r="E58" s="403"/>
      <c r="F58" s="396"/>
      <c r="G58" s="396"/>
      <c r="H58" s="396"/>
      <c r="I58" s="577"/>
      <c r="J58" s="396"/>
      <c r="K58" s="577"/>
      <c r="L58" s="396"/>
      <c r="M58" s="577"/>
      <c r="N58" s="943"/>
      <c r="O58" s="945"/>
    </row>
    <row r="59" spans="1:15" s="117" customFormat="1" ht="15.6" x14ac:dyDescent="0.3">
      <c r="A59" s="458"/>
      <c r="D59" s="455" t="s">
        <v>417</v>
      </c>
      <c r="E59" s="456">
        <v>81000</v>
      </c>
      <c r="F59" s="457">
        <f t="shared" ref="F59:M60" si="43">SUM(F60)</f>
        <v>57500</v>
      </c>
      <c r="G59" s="457">
        <f t="shared" si="43"/>
        <v>7631.5614838409974</v>
      </c>
      <c r="H59" s="457">
        <f t="shared" si="43"/>
        <v>39000</v>
      </c>
      <c r="I59" s="578">
        <f t="shared" si="43"/>
        <v>293845.5</v>
      </c>
      <c r="J59" s="457">
        <f t="shared" si="43"/>
        <v>7000</v>
      </c>
      <c r="K59" s="578">
        <f t="shared" si="43"/>
        <v>52741.5</v>
      </c>
      <c r="L59" s="457">
        <f t="shared" si="43"/>
        <v>12000</v>
      </c>
      <c r="M59" s="578">
        <f t="shared" si="43"/>
        <v>90414</v>
      </c>
      <c r="N59" s="943"/>
      <c r="O59" s="945"/>
    </row>
    <row r="60" spans="1:15" s="29" customFormat="1" ht="13.8" x14ac:dyDescent="0.25">
      <c r="A60" s="382" t="s">
        <v>394</v>
      </c>
      <c r="B60" s="489"/>
      <c r="C60" s="378">
        <v>42</v>
      </c>
      <c r="D60" s="393" t="s">
        <v>96</v>
      </c>
      <c r="E60" s="386">
        <v>81000</v>
      </c>
      <c r="F60" s="386">
        <f t="shared" si="43"/>
        <v>57500</v>
      </c>
      <c r="G60" s="386">
        <f t="shared" si="43"/>
        <v>7631.5614838409974</v>
      </c>
      <c r="H60" s="386">
        <f t="shared" si="43"/>
        <v>39000</v>
      </c>
      <c r="I60" s="386">
        <f t="shared" si="43"/>
        <v>293845.5</v>
      </c>
      <c r="J60" s="386">
        <f t="shared" si="43"/>
        <v>7000</v>
      </c>
      <c r="K60" s="386">
        <f t="shared" si="43"/>
        <v>52741.5</v>
      </c>
      <c r="L60" s="386">
        <f t="shared" si="43"/>
        <v>12000</v>
      </c>
      <c r="M60" s="581">
        <f t="shared" si="43"/>
        <v>90414</v>
      </c>
      <c r="N60" s="409">
        <f>AVERAGE(J60/H60*100)</f>
        <v>17.948717948717949</v>
      </c>
      <c r="O60" s="427">
        <f>AVERAGE(L60/J60*100)</f>
        <v>171.42857142857142</v>
      </c>
    </row>
    <row r="61" spans="1:15" ht="14.4" thickBot="1" x14ac:dyDescent="0.3">
      <c r="A61" s="379" t="s">
        <v>394</v>
      </c>
      <c r="B61" s="488"/>
      <c r="C61" s="391">
        <v>422</v>
      </c>
      <c r="D61" s="392" t="s">
        <v>99</v>
      </c>
      <c r="E61" s="387">
        <f t="shared" ref="E61:L61" si="44">SUM(E62:E66)</f>
        <v>81000</v>
      </c>
      <c r="F61" s="387">
        <f t="shared" si="44"/>
        <v>57500</v>
      </c>
      <c r="G61" s="387">
        <f t="shared" si="44"/>
        <v>7631.5614838409974</v>
      </c>
      <c r="H61" s="387">
        <f t="shared" si="44"/>
        <v>39000</v>
      </c>
      <c r="I61" s="387">
        <f t="shared" si="44"/>
        <v>293845.5</v>
      </c>
      <c r="J61" s="387">
        <f t="shared" si="44"/>
        <v>7000</v>
      </c>
      <c r="K61" s="387">
        <f t="shared" si="44"/>
        <v>52741.5</v>
      </c>
      <c r="L61" s="387">
        <f t="shared" si="44"/>
        <v>12000</v>
      </c>
      <c r="M61" s="580">
        <f t="shared" ref="M61" si="45">SUM(M62:M66)</f>
        <v>90414</v>
      </c>
      <c r="N61" s="409">
        <f t="shared" ref="N61:N66" si="46">AVERAGE(J61/H61*100)</f>
        <v>17.948717948717949</v>
      </c>
      <c r="O61" s="427">
        <f t="shared" ref="O61:O62" si="47">AVERAGE(L61/J61*100)</f>
        <v>171.42857142857142</v>
      </c>
    </row>
    <row r="62" spans="1:15" ht="13.8" hidden="1" x14ac:dyDescent="0.25">
      <c r="A62" s="379" t="s">
        <v>394</v>
      </c>
      <c r="B62" s="488"/>
      <c r="C62" s="391">
        <v>4221</v>
      </c>
      <c r="D62" s="392" t="s">
        <v>100</v>
      </c>
      <c r="E62" s="387">
        <v>25000</v>
      </c>
      <c r="F62" s="387">
        <v>20000</v>
      </c>
      <c r="G62" s="387">
        <f>F62/7.5345</f>
        <v>2654.4561682925209</v>
      </c>
      <c r="H62" s="387">
        <v>3000</v>
      </c>
      <c r="I62" s="580">
        <f>H62*7.5345</f>
        <v>22603.5</v>
      </c>
      <c r="J62" s="387">
        <v>3000</v>
      </c>
      <c r="K62" s="580">
        <f>J62*7.5345</f>
        <v>22603.5</v>
      </c>
      <c r="L62" s="387">
        <v>3000</v>
      </c>
      <c r="M62" s="580">
        <f>L62*7.5345</f>
        <v>22603.5</v>
      </c>
      <c r="N62" s="409">
        <f t="shared" si="46"/>
        <v>100</v>
      </c>
      <c r="O62" s="427">
        <f t="shared" si="47"/>
        <v>100</v>
      </c>
    </row>
    <row r="63" spans="1:15" ht="13.8" hidden="1" x14ac:dyDescent="0.25">
      <c r="A63" s="379" t="s">
        <v>394</v>
      </c>
      <c r="B63" s="488"/>
      <c r="C63" s="391">
        <v>4222</v>
      </c>
      <c r="D63" s="392" t="s">
        <v>101</v>
      </c>
      <c r="E63" s="387">
        <v>4000</v>
      </c>
      <c r="F63" s="387">
        <v>15000</v>
      </c>
      <c r="G63" s="387">
        <f>F63/7.5345</f>
        <v>1990.8421262193906</v>
      </c>
      <c r="H63" s="387">
        <v>4000</v>
      </c>
      <c r="I63" s="580">
        <f>H63*7.5345</f>
        <v>30138</v>
      </c>
      <c r="J63" s="387">
        <v>0</v>
      </c>
      <c r="K63" s="580">
        <f>J63*7.5345</f>
        <v>0</v>
      </c>
      <c r="L63" s="387">
        <v>5000</v>
      </c>
      <c r="M63" s="580">
        <f>L63*7.5345</f>
        <v>37672.5</v>
      </c>
      <c r="N63" s="409">
        <f t="shared" si="46"/>
        <v>0</v>
      </c>
      <c r="O63" s="427" t="e">
        <f t="shared" ref="O63:O66" si="48">AVERAGE(L63/J63*100)</f>
        <v>#DIV/0!</v>
      </c>
    </row>
    <row r="64" spans="1:15" ht="13.8" hidden="1" x14ac:dyDescent="0.25">
      <c r="A64" s="379" t="s">
        <v>394</v>
      </c>
      <c r="B64" s="488"/>
      <c r="C64" s="391">
        <v>4223</v>
      </c>
      <c r="D64" s="392" t="s">
        <v>112</v>
      </c>
      <c r="E64" s="387">
        <v>20000</v>
      </c>
      <c r="F64" s="387">
        <v>5000</v>
      </c>
      <c r="G64" s="387">
        <f>F64/7.5345</f>
        <v>663.61404207313024</v>
      </c>
      <c r="H64" s="387">
        <v>1000</v>
      </c>
      <c r="I64" s="580">
        <f>H64*7.5345</f>
        <v>7534.5</v>
      </c>
      <c r="J64" s="387">
        <v>1000</v>
      </c>
      <c r="K64" s="580">
        <f>J64*7.5345</f>
        <v>7534.5</v>
      </c>
      <c r="L64" s="387">
        <v>1000</v>
      </c>
      <c r="M64" s="580">
        <f>L64*7.5345</f>
        <v>7534.5</v>
      </c>
      <c r="N64" s="409">
        <f t="shared" si="46"/>
        <v>100</v>
      </c>
      <c r="O64" s="427">
        <f t="shared" si="48"/>
        <v>100</v>
      </c>
    </row>
    <row r="65" spans="1:15" ht="13.8" hidden="1" x14ac:dyDescent="0.25">
      <c r="A65" s="379" t="s">
        <v>394</v>
      </c>
      <c r="B65" s="488"/>
      <c r="C65" s="391">
        <v>4226</v>
      </c>
      <c r="D65" s="392" t="s">
        <v>386</v>
      </c>
      <c r="E65" s="387">
        <v>2000</v>
      </c>
      <c r="F65" s="387">
        <v>7500</v>
      </c>
      <c r="G65" s="387">
        <f>F65/7.5345</f>
        <v>995.4210631096953</v>
      </c>
      <c r="H65" s="387">
        <v>1000</v>
      </c>
      <c r="I65" s="580">
        <f>H65*7.5345</f>
        <v>7534.5</v>
      </c>
      <c r="J65" s="387">
        <v>1000</v>
      </c>
      <c r="K65" s="580">
        <f>J65*7.5345</f>
        <v>7534.5</v>
      </c>
      <c r="L65" s="387">
        <v>1000</v>
      </c>
      <c r="M65" s="580">
        <f>L65*7.5345</f>
        <v>7534.5</v>
      </c>
      <c r="N65" s="409">
        <f t="shared" si="46"/>
        <v>100</v>
      </c>
      <c r="O65" s="427">
        <f t="shared" si="48"/>
        <v>100</v>
      </c>
    </row>
    <row r="66" spans="1:15" s="415" customFormat="1" ht="14.4" hidden="1" thickBot="1" x14ac:dyDescent="0.3">
      <c r="A66" s="432" t="s">
        <v>394</v>
      </c>
      <c r="B66" s="490"/>
      <c r="C66" s="411">
        <v>4227</v>
      </c>
      <c r="D66" s="412" t="s">
        <v>102</v>
      </c>
      <c r="E66" s="413">
        <v>30000</v>
      </c>
      <c r="F66" s="413">
        <v>10000</v>
      </c>
      <c r="G66" s="413">
        <f>F66/7.5345</f>
        <v>1327.2280841462605</v>
      </c>
      <c r="H66" s="413">
        <v>30000</v>
      </c>
      <c r="I66" s="582">
        <f>H66*7.5345</f>
        <v>226035</v>
      </c>
      <c r="J66" s="413">
        <v>2000</v>
      </c>
      <c r="K66" s="582">
        <f>J66*7.5345</f>
        <v>15069</v>
      </c>
      <c r="L66" s="413">
        <v>2000</v>
      </c>
      <c r="M66" s="582">
        <f>L66*7.5345</f>
        <v>15069</v>
      </c>
      <c r="N66" s="479">
        <f t="shared" si="46"/>
        <v>6.666666666666667</v>
      </c>
      <c r="O66" s="480">
        <f t="shared" si="48"/>
        <v>100</v>
      </c>
    </row>
    <row r="67" spans="1:15" ht="13.8" x14ac:dyDescent="0.25">
      <c r="A67" s="426"/>
      <c r="B67" s="42"/>
      <c r="C67" s="42"/>
      <c r="D67" s="420" t="s">
        <v>178</v>
      </c>
      <c r="E67" s="410"/>
      <c r="F67" s="396"/>
      <c r="G67" s="396"/>
      <c r="H67" s="396"/>
      <c r="I67" s="577"/>
      <c r="J67" s="396"/>
      <c r="K67" s="577"/>
      <c r="L67" s="396"/>
      <c r="M67" s="577"/>
      <c r="N67" s="942">
        <f>AVERAGE(J69/H69*100)</f>
        <v>150</v>
      </c>
      <c r="O67" s="944">
        <f>AVERAGE(L69/J69*100)</f>
        <v>100</v>
      </c>
    </row>
    <row r="68" spans="1:15" ht="13.8" x14ac:dyDescent="0.25">
      <c r="A68" s="426"/>
      <c r="B68" s="42"/>
      <c r="C68" s="42"/>
      <c r="D68" s="420" t="s">
        <v>670</v>
      </c>
      <c r="E68" s="403"/>
      <c r="F68" s="396"/>
      <c r="G68" s="396"/>
      <c r="H68" s="396"/>
      <c r="I68" s="577"/>
      <c r="J68" s="396"/>
      <c r="K68" s="577"/>
      <c r="L68" s="396"/>
      <c r="M68" s="577"/>
      <c r="N68" s="943"/>
      <c r="O68" s="945"/>
    </row>
    <row r="69" spans="1:15" s="117" customFormat="1" ht="15.6" x14ac:dyDescent="0.3">
      <c r="A69" s="458"/>
      <c r="D69" s="455" t="s">
        <v>418</v>
      </c>
      <c r="E69" s="456">
        <v>25000</v>
      </c>
      <c r="F69" s="457">
        <f t="shared" ref="F69:M71" si="49">SUM(F70)</f>
        <v>20000</v>
      </c>
      <c r="G69" s="457">
        <f t="shared" si="49"/>
        <v>2654.4561682925209</v>
      </c>
      <c r="H69" s="457">
        <f t="shared" si="49"/>
        <v>2000</v>
      </c>
      <c r="I69" s="578">
        <f t="shared" si="49"/>
        <v>15069</v>
      </c>
      <c r="J69" s="457">
        <f t="shared" si="49"/>
        <v>3000</v>
      </c>
      <c r="K69" s="578">
        <f t="shared" si="49"/>
        <v>22603.5</v>
      </c>
      <c r="L69" s="457">
        <f t="shared" si="49"/>
        <v>3000</v>
      </c>
      <c r="M69" s="578">
        <f t="shared" si="49"/>
        <v>22603.5</v>
      </c>
      <c r="N69" s="943"/>
      <c r="O69" s="945"/>
    </row>
    <row r="70" spans="1:15" s="29" customFormat="1" ht="13.8" x14ac:dyDescent="0.25">
      <c r="A70" s="382" t="s">
        <v>395</v>
      </c>
      <c r="B70" s="489"/>
      <c r="C70" s="378">
        <v>42</v>
      </c>
      <c r="D70" s="393" t="s">
        <v>96</v>
      </c>
      <c r="E70" s="386">
        <v>25000</v>
      </c>
      <c r="F70" s="386">
        <f t="shared" si="49"/>
        <v>20000</v>
      </c>
      <c r="G70" s="386">
        <f t="shared" si="49"/>
        <v>2654.4561682925209</v>
      </c>
      <c r="H70" s="386">
        <f t="shared" si="49"/>
        <v>2000</v>
      </c>
      <c r="I70" s="386">
        <f t="shared" si="49"/>
        <v>15069</v>
      </c>
      <c r="J70" s="386">
        <f t="shared" si="49"/>
        <v>3000</v>
      </c>
      <c r="K70" s="386">
        <f t="shared" si="49"/>
        <v>22603.5</v>
      </c>
      <c r="L70" s="386">
        <f t="shared" si="49"/>
        <v>3000</v>
      </c>
      <c r="M70" s="581">
        <f t="shared" si="49"/>
        <v>22603.5</v>
      </c>
      <c r="N70" s="409">
        <f t="shared" ref="N70:N72" si="50">AVERAGE(J70/H70*100)</f>
        <v>150</v>
      </c>
      <c r="O70" s="427">
        <f>AVERAGE(L70/J70*100)</f>
        <v>100</v>
      </c>
    </row>
    <row r="71" spans="1:15" ht="14.4" thickBot="1" x14ac:dyDescent="0.3">
      <c r="A71" s="379" t="s">
        <v>395</v>
      </c>
      <c r="B71" s="488"/>
      <c r="C71" s="391">
        <v>426</v>
      </c>
      <c r="D71" s="392" t="s">
        <v>117</v>
      </c>
      <c r="E71" s="387">
        <v>25000</v>
      </c>
      <c r="F71" s="387">
        <f t="shared" si="49"/>
        <v>20000</v>
      </c>
      <c r="G71" s="387">
        <f t="shared" si="49"/>
        <v>2654.4561682925209</v>
      </c>
      <c r="H71" s="387">
        <f t="shared" si="49"/>
        <v>2000</v>
      </c>
      <c r="I71" s="580">
        <f t="shared" si="49"/>
        <v>15069</v>
      </c>
      <c r="J71" s="387">
        <f t="shared" si="49"/>
        <v>3000</v>
      </c>
      <c r="K71" s="580">
        <f t="shared" si="49"/>
        <v>22603.5</v>
      </c>
      <c r="L71" s="387">
        <f t="shared" si="49"/>
        <v>3000</v>
      </c>
      <c r="M71" s="580">
        <f t="shared" si="49"/>
        <v>22603.5</v>
      </c>
      <c r="N71" s="409">
        <f t="shared" si="50"/>
        <v>150</v>
      </c>
      <c r="O71" s="427">
        <f t="shared" ref="O71:O72" si="51">AVERAGE(L71/J71*100)</f>
        <v>100</v>
      </c>
    </row>
    <row r="72" spans="1:15" s="415" customFormat="1" ht="14.4" hidden="1" thickBot="1" x14ac:dyDescent="0.3">
      <c r="A72" s="432" t="s">
        <v>395</v>
      </c>
      <c r="B72" s="490"/>
      <c r="C72" s="411">
        <v>4262</v>
      </c>
      <c r="D72" s="412" t="s">
        <v>196</v>
      </c>
      <c r="E72" s="413">
        <v>25000</v>
      </c>
      <c r="F72" s="413">
        <v>20000</v>
      </c>
      <c r="G72" s="413">
        <f>F72/7.5345</f>
        <v>2654.4561682925209</v>
      </c>
      <c r="H72" s="413">
        <v>2000</v>
      </c>
      <c r="I72" s="582">
        <f>H72*7.5345</f>
        <v>15069</v>
      </c>
      <c r="J72" s="413">
        <v>3000</v>
      </c>
      <c r="K72" s="582">
        <f>J72*7.5345</f>
        <v>22603.5</v>
      </c>
      <c r="L72" s="413">
        <v>3000</v>
      </c>
      <c r="M72" s="582">
        <f>L72*7.5345</f>
        <v>22603.5</v>
      </c>
      <c r="N72" s="479">
        <f t="shared" si="50"/>
        <v>150</v>
      </c>
      <c r="O72" s="480">
        <f t="shared" si="51"/>
        <v>100</v>
      </c>
    </row>
    <row r="73" spans="1:15" ht="13.8" x14ac:dyDescent="0.25">
      <c r="A73" s="426"/>
      <c r="B73" s="493"/>
      <c r="C73" s="42"/>
      <c r="D73" s="420" t="s">
        <v>178</v>
      </c>
      <c r="E73" s="410"/>
      <c r="F73" s="396"/>
      <c r="G73" s="396"/>
      <c r="H73" s="396"/>
      <c r="I73" s="577"/>
      <c r="J73" s="396"/>
      <c r="K73" s="577"/>
      <c r="L73" s="396"/>
      <c r="M73" s="577"/>
      <c r="N73" s="942">
        <f>AVERAGE(J75/H75*100)</f>
        <v>100</v>
      </c>
      <c r="O73" s="944">
        <f>AVERAGE(L75/J75*100)</f>
        <v>100</v>
      </c>
    </row>
    <row r="74" spans="1:15" ht="13.8" x14ac:dyDescent="0.25">
      <c r="A74" s="426"/>
      <c r="B74" s="493"/>
      <c r="C74" s="42"/>
      <c r="D74" s="420" t="s">
        <v>670</v>
      </c>
      <c r="E74" s="403"/>
      <c r="F74" s="396"/>
      <c r="G74" s="396"/>
      <c r="H74" s="396"/>
      <c r="I74" s="577"/>
      <c r="J74" s="396"/>
      <c r="K74" s="577"/>
      <c r="L74" s="396"/>
      <c r="M74" s="577"/>
      <c r="N74" s="943"/>
      <c r="O74" s="945"/>
    </row>
    <row r="75" spans="1:15" s="117" customFormat="1" ht="15.6" x14ac:dyDescent="0.3">
      <c r="A75" s="458"/>
      <c r="B75" s="494"/>
      <c r="D75" s="455" t="s">
        <v>419</v>
      </c>
      <c r="E75" s="456">
        <v>20000</v>
      </c>
      <c r="F75" s="457">
        <f t="shared" ref="F75:M77" si="52">SUM(F76)</f>
        <v>10000</v>
      </c>
      <c r="G75" s="457">
        <f t="shared" si="52"/>
        <v>1327.2280841462605</v>
      </c>
      <c r="H75" s="457">
        <f t="shared" si="52"/>
        <v>1000</v>
      </c>
      <c r="I75" s="457">
        <f t="shared" si="52"/>
        <v>7534.5</v>
      </c>
      <c r="J75" s="457">
        <f t="shared" si="52"/>
        <v>1000</v>
      </c>
      <c r="K75" s="457">
        <f t="shared" si="52"/>
        <v>7534.5</v>
      </c>
      <c r="L75" s="457">
        <f t="shared" si="52"/>
        <v>1000</v>
      </c>
      <c r="M75" s="578">
        <f t="shared" si="52"/>
        <v>7534.5</v>
      </c>
      <c r="N75" s="943"/>
      <c r="O75" s="945"/>
    </row>
    <row r="76" spans="1:15" s="29" customFormat="1" ht="13.8" x14ac:dyDescent="0.25">
      <c r="A76" s="382" t="s">
        <v>396</v>
      </c>
      <c r="B76" s="489"/>
      <c r="C76" s="378">
        <v>32</v>
      </c>
      <c r="D76" s="393" t="s">
        <v>47</v>
      </c>
      <c r="E76" s="386">
        <v>20000</v>
      </c>
      <c r="F76" s="386">
        <f t="shared" si="52"/>
        <v>10000</v>
      </c>
      <c r="G76" s="386">
        <f t="shared" si="52"/>
        <v>1327.2280841462605</v>
      </c>
      <c r="H76" s="386">
        <f t="shared" si="52"/>
        <v>1000</v>
      </c>
      <c r="I76" s="386">
        <f t="shared" si="52"/>
        <v>7534.5</v>
      </c>
      <c r="J76" s="386">
        <f t="shared" si="52"/>
        <v>1000</v>
      </c>
      <c r="K76" s="386">
        <f t="shared" si="52"/>
        <v>7534.5</v>
      </c>
      <c r="L76" s="386">
        <f t="shared" si="52"/>
        <v>1000</v>
      </c>
      <c r="M76" s="581">
        <f t="shared" si="52"/>
        <v>7534.5</v>
      </c>
      <c r="N76" s="409">
        <f t="shared" ref="N76:N78" si="53">AVERAGE(J76/H76*100)</f>
        <v>100</v>
      </c>
      <c r="O76" s="427">
        <f>AVERAGE(L76/J76*100)</f>
        <v>100</v>
      </c>
    </row>
    <row r="77" spans="1:15" ht="14.4" thickBot="1" x14ac:dyDescent="0.3">
      <c r="A77" s="379" t="s">
        <v>396</v>
      </c>
      <c r="B77" s="488"/>
      <c r="C77" s="391">
        <v>323</v>
      </c>
      <c r="D77" s="392" t="s">
        <v>56</v>
      </c>
      <c r="E77" s="387">
        <v>20000</v>
      </c>
      <c r="F77" s="387">
        <f t="shared" si="52"/>
        <v>10000</v>
      </c>
      <c r="G77" s="387">
        <f t="shared" si="52"/>
        <v>1327.2280841462605</v>
      </c>
      <c r="H77" s="387">
        <f t="shared" si="52"/>
        <v>1000</v>
      </c>
      <c r="I77" s="387">
        <f t="shared" si="52"/>
        <v>7534.5</v>
      </c>
      <c r="J77" s="387">
        <f t="shared" si="52"/>
        <v>1000</v>
      </c>
      <c r="K77" s="387">
        <f t="shared" si="52"/>
        <v>7534.5</v>
      </c>
      <c r="L77" s="387">
        <f t="shared" si="52"/>
        <v>1000</v>
      </c>
      <c r="M77" s="580">
        <f t="shared" si="52"/>
        <v>7534.5</v>
      </c>
      <c r="N77" s="409">
        <f t="shared" si="53"/>
        <v>100</v>
      </c>
      <c r="O77" s="427">
        <f t="shared" ref="O77:O78" si="54">AVERAGE(L77/J77*100)</f>
        <v>100</v>
      </c>
    </row>
    <row r="78" spans="1:15" s="415" customFormat="1" ht="14.4" hidden="1" thickBot="1" x14ac:dyDescent="0.3">
      <c r="A78" s="432" t="s">
        <v>396</v>
      </c>
      <c r="B78" s="490"/>
      <c r="C78" s="411">
        <v>3237</v>
      </c>
      <c r="D78" s="412" t="s">
        <v>62</v>
      </c>
      <c r="E78" s="413">
        <v>20000</v>
      </c>
      <c r="F78" s="413">
        <v>10000</v>
      </c>
      <c r="G78" s="413">
        <f>F78/7.5345</f>
        <v>1327.2280841462605</v>
      </c>
      <c r="H78" s="413">
        <v>1000</v>
      </c>
      <c r="I78" s="582">
        <f>H78*7.5345</f>
        <v>7534.5</v>
      </c>
      <c r="J78" s="413">
        <v>1000</v>
      </c>
      <c r="K78" s="582">
        <f>J78*7.5345</f>
        <v>7534.5</v>
      </c>
      <c r="L78" s="413">
        <v>1000</v>
      </c>
      <c r="M78" s="582">
        <f>L78*7.5345</f>
        <v>7534.5</v>
      </c>
      <c r="N78" s="479">
        <f t="shared" si="53"/>
        <v>100</v>
      </c>
      <c r="O78" s="480">
        <f t="shared" si="54"/>
        <v>100</v>
      </c>
    </row>
    <row r="79" spans="1:15" ht="13.8" x14ac:dyDescent="0.25">
      <c r="A79" s="426"/>
      <c r="B79" s="493"/>
      <c r="C79" s="42"/>
      <c r="D79" s="420" t="s">
        <v>178</v>
      </c>
      <c r="E79" s="410"/>
      <c r="F79" s="396"/>
      <c r="G79" s="396"/>
      <c r="H79" s="396"/>
      <c r="I79" s="577"/>
      <c r="J79" s="396"/>
      <c r="K79" s="577"/>
      <c r="L79" s="396"/>
      <c r="M79" s="577"/>
      <c r="N79" s="942">
        <f>AVERAGE(J81/H81*100)</f>
        <v>100</v>
      </c>
      <c r="O79" s="944">
        <f>AVERAGE(L81/J81*100)</f>
        <v>100</v>
      </c>
    </row>
    <row r="80" spans="1:15" ht="13.8" x14ac:dyDescent="0.25">
      <c r="A80" s="426"/>
      <c r="B80" s="493"/>
      <c r="C80" s="42"/>
      <c r="D80" s="420" t="s">
        <v>670</v>
      </c>
      <c r="E80" s="403"/>
      <c r="F80" s="396"/>
      <c r="G80" s="396"/>
      <c r="H80" s="396"/>
      <c r="I80" s="577"/>
      <c r="J80" s="396"/>
      <c r="K80" s="577"/>
      <c r="L80" s="396"/>
      <c r="M80" s="577"/>
      <c r="N80" s="943"/>
      <c r="O80" s="945"/>
    </row>
    <row r="81" spans="1:15" s="117" customFormat="1" ht="15.6" x14ac:dyDescent="0.3">
      <c r="A81" s="458"/>
      <c r="B81" s="494"/>
      <c r="D81" s="455" t="s">
        <v>420</v>
      </c>
      <c r="E81" s="456">
        <v>40000</v>
      </c>
      <c r="F81" s="457">
        <f t="shared" ref="F81:M83" si="55">SUM(F82)</f>
        <v>20000</v>
      </c>
      <c r="G81" s="457">
        <f t="shared" si="55"/>
        <v>2654.4561682925209</v>
      </c>
      <c r="H81" s="457">
        <f t="shared" si="55"/>
        <v>3000</v>
      </c>
      <c r="I81" s="457">
        <f t="shared" si="55"/>
        <v>22603.5</v>
      </c>
      <c r="J81" s="457">
        <f t="shared" si="55"/>
        <v>3000</v>
      </c>
      <c r="K81" s="457">
        <f t="shared" si="55"/>
        <v>22603.5</v>
      </c>
      <c r="L81" s="457">
        <f t="shared" si="55"/>
        <v>3000</v>
      </c>
      <c r="M81" s="578">
        <f t="shared" si="55"/>
        <v>22603.5</v>
      </c>
      <c r="N81" s="943"/>
      <c r="O81" s="945"/>
    </row>
    <row r="82" spans="1:15" s="29" customFormat="1" ht="13.8" x14ac:dyDescent="0.25">
      <c r="A82" s="382" t="s">
        <v>397</v>
      </c>
      <c r="B82" s="489"/>
      <c r="C82" s="401">
        <v>38</v>
      </c>
      <c r="D82" s="402" t="s">
        <v>198</v>
      </c>
      <c r="E82" s="386">
        <v>40000</v>
      </c>
      <c r="F82" s="386">
        <f t="shared" si="55"/>
        <v>20000</v>
      </c>
      <c r="G82" s="386">
        <f t="shared" si="55"/>
        <v>2654.4561682925209</v>
      </c>
      <c r="H82" s="386">
        <f t="shared" si="55"/>
        <v>3000</v>
      </c>
      <c r="I82" s="386">
        <f t="shared" si="55"/>
        <v>22603.5</v>
      </c>
      <c r="J82" s="386">
        <f t="shared" si="55"/>
        <v>3000</v>
      </c>
      <c r="K82" s="386">
        <f t="shared" si="55"/>
        <v>22603.5</v>
      </c>
      <c r="L82" s="386">
        <f t="shared" si="55"/>
        <v>3000</v>
      </c>
      <c r="M82" s="581">
        <f t="shared" si="55"/>
        <v>22603.5</v>
      </c>
      <c r="N82" s="409">
        <f t="shared" ref="N82:N84" si="56">AVERAGE(J82/H82*100)</f>
        <v>100</v>
      </c>
      <c r="O82" s="427">
        <f>AVERAGE(L82/J82*100)</f>
        <v>100</v>
      </c>
    </row>
    <row r="83" spans="1:15" ht="14.4" thickBot="1" x14ac:dyDescent="0.3">
      <c r="A83" s="379" t="s">
        <v>397</v>
      </c>
      <c r="B83" s="488" t="s">
        <v>398</v>
      </c>
      <c r="C83" s="399">
        <v>383</v>
      </c>
      <c r="D83" s="390" t="s">
        <v>199</v>
      </c>
      <c r="E83" s="387">
        <v>40000</v>
      </c>
      <c r="F83" s="387">
        <f t="shared" si="55"/>
        <v>20000</v>
      </c>
      <c r="G83" s="387">
        <f t="shared" si="55"/>
        <v>2654.4561682925209</v>
      </c>
      <c r="H83" s="387">
        <f t="shared" si="55"/>
        <v>3000</v>
      </c>
      <c r="I83" s="387">
        <f t="shared" si="55"/>
        <v>22603.5</v>
      </c>
      <c r="J83" s="387">
        <f t="shared" si="55"/>
        <v>3000</v>
      </c>
      <c r="K83" s="387">
        <f t="shared" si="55"/>
        <v>22603.5</v>
      </c>
      <c r="L83" s="387">
        <f t="shared" si="55"/>
        <v>3000</v>
      </c>
      <c r="M83" s="580">
        <f t="shared" si="55"/>
        <v>22603.5</v>
      </c>
      <c r="N83" s="409">
        <f t="shared" si="56"/>
        <v>100</v>
      </c>
      <c r="O83" s="427">
        <f t="shared" ref="O83:O84" si="57">AVERAGE(L83/J83*100)</f>
        <v>100</v>
      </c>
    </row>
    <row r="84" spans="1:15" ht="14.4" hidden="1" thickBot="1" x14ac:dyDescent="0.3">
      <c r="A84" s="380" t="s">
        <v>397</v>
      </c>
      <c r="B84" s="495"/>
      <c r="C84" s="423">
        <v>3831</v>
      </c>
      <c r="D84" s="398" t="s">
        <v>200</v>
      </c>
      <c r="E84" s="385">
        <v>40000</v>
      </c>
      <c r="F84" s="385">
        <v>20000</v>
      </c>
      <c r="G84" s="387">
        <f>F84/7.5345</f>
        <v>2654.4561682925209</v>
      </c>
      <c r="H84" s="387">
        <v>3000</v>
      </c>
      <c r="I84" s="580">
        <f>H84*7.5345</f>
        <v>22603.5</v>
      </c>
      <c r="J84" s="387">
        <v>3000</v>
      </c>
      <c r="K84" s="580">
        <f>J84*7.5345</f>
        <v>22603.5</v>
      </c>
      <c r="L84" s="387">
        <v>3000</v>
      </c>
      <c r="M84" s="580">
        <f>L84*7.5345</f>
        <v>22603.5</v>
      </c>
      <c r="N84" s="409">
        <f t="shared" si="56"/>
        <v>100</v>
      </c>
      <c r="O84" s="427">
        <f t="shared" si="57"/>
        <v>100</v>
      </c>
    </row>
    <row r="85" spans="1:15" s="680" customFormat="1" ht="37.200000000000003" customHeight="1" thickBot="1" x14ac:dyDescent="0.3">
      <c r="A85" s="939" t="s">
        <v>522</v>
      </c>
      <c r="B85" s="940"/>
      <c r="C85" s="940"/>
      <c r="D85" s="941"/>
      <c r="E85" s="599">
        <v>175000</v>
      </c>
      <c r="F85" s="599">
        <f t="shared" ref="F85:I85" si="58">SUM(F88)</f>
        <v>185000</v>
      </c>
      <c r="G85" s="599">
        <f t="shared" si="58"/>
        <v>24553.719556705822</v>
      </c>
      <c r="H85" s="599">
        <f t="shared" si="58"/>
        <v>44000</v>
      </c>
      <c r="I85" s="605">
        <f t="shared" si="58"/>
        <v>331518</v>
      </c>
      <c r="J85" s="599">
        <f t="shared" ref="J85:L85" si="59">SUM(J88)</f>
        <v>50000</v>
      </c>
      <c r="K85" s="605">
        <f t="shared" ref="K85:M85" si="60">SUM(K88)</f>
        <v>376725</v>
      </c>
      <c r="L85" s="599">
        <f t="shared" si="59"/>
        <v>50000</v>
      </c>
      <c r="M85" s="605">
        <f t="shared" si="60"/>
        <v>376725</v>
      </c>
      <c r="N85" s="600">
        <f>AVERAGE(J85/H85*100)</f>
        <v>113.63636363636364</v>
      </c>
      <c r="O85" s="601">
        <f>AVERAGE(L85/J85*100)</f>
        <v>100</v>
      </c>
    </row>
    <row r="86" spans="1:15" ht="13.8" x14ac:dyDescent="0.25">
      <c r="A86" s="426"/>
      <c r="B86" s="42"/>
      <c r="C86" s="42"/>
      <c r="D86" s="420" t="s">
        <v>178</v>
      </c>
      <c r="E86" s="397"/>
      <c r="F86" s="396"/>
      <c r="G86" s="396"/>
      <c r="H86" s="396"/>
      <c r="I86" s="577"/>
      <c r="J86" s="396"/>
      <c r="K86" s="577"/>
      <c r="L86" s="396"/>
      <c r="M86" s="577"/>
      <c r="N86" s="942">
        <f>AVERAGE(J88/H88*100)</f>
        <v>113.63636363636364</v>
      </c>
      <c r="O86" s="944">
        <f>AVERAGE(L88/J88*100)</f>
        <v>100</v>
      </c>
    </row>
    <row r="87" spans="1:15" ht="13.8" x14ac:dyDescent="0.25">
      <c r="A87" s="426"/>
      <c r="B87" s="42"/>
      <c r="C87" s="42"/>
      <c r="D87" s="420" t="s">
        <v>672</v>
      </c>
      <c r="E87" s="387"/>
      <c r="F87" s="396"/>
      <c r="G87" s="396"/>
      <c r="H87" s="396"/>
      <c r="I87" s="577"/>
      <c r="J87" s="396"/>
      <c r="K87" s="577"/>
      <c r="L87" s="396"/>
      <c r="M87" s="577"/>
      <c r="N87" s="943"/>
      <c r="O87" s="945"/>
    </row>
    <row r="88" spans="1:15" s="117" customFormat="1" ht="15.6" x14ac:dyDescent="0.3">
      <c r="A88" s="458"/>
      <c r="D88" s="455" t="s">
        <v>493</v>
      </c>
      <c r="E88" s="459">
        <v>175000</v>
      </c>
      <c r="F88" s="457">
        <f t="shared" ref="F88:M89" si="61">SUM(F89)</f>
        <v>185000</v>
      </c>
      <c r="G88" s="457">
        <f t="shared" si="61"/>
        <v>24553.719556705822</v>
      </c>
      <c r="H88" s="457">
        <f t="shared" si="61"/>
        <v>44000</v>
      </c>
      <c r="I88" s="457">
        <f t="shared" si="61"/>
        <v>331518</v>
      </c>
      <c r="J88" s="457">
        <f t="shared" si="61"/>
        <v>50000</v>
      </c>
      <c r="K88" s="457">
        <f t="shared" si="61"/>
        <v>376725</v>
      </c>
      <c r="L88" s="457">
        <f t="shared" si="61"/>
        <v>50000</v>
      </c>
      <c r="M88" s="578">
        <f t="shared" si="61"/>
        <v>376725</v>
      </c>
      <c r="N88" s="943"/>
      <c r="O88" s="945"/>
    </row>
    <row r="89" spans="1:15" s="29" customFormat="1" ht="13.8" x14ac:dyDescent="0.25">
      <c r="A89" s="382" t="s">
        <v>445</v>
      </c>
      <c r="B89" s="489"/>
      <c r="C89" s="401">
        <v>32</v>
      </c>
      <c r="D89" s="388" t="s">
        <v>180</v>
      </c>
      <c r="E89" s="386">
        <v>175000</v>
      </c>
      <c r="F89" s="386">
        <f t="shared" si="61"/>
        <v>185000</v>
      </c>
      <c r="G89" s="386">
        <f t="shared" si="61"/>
        <v>24553.719556705822</v>
      </c>
      <c r="H89" s="386">
        <f t="shared" si="61"/>
        <v>44000</v>
      </c>
      <c r="I89" s="386">
        <f t="shared" si="61"/>
        <v>331518</v>
      </c>
      <c r="J89" s="386">
        <f t="shared" si="61"/>
        <v>50000</v>
      </c>
      <c r="K89" s="386">
        <f t="shared" si="61"/>
        <v>376725</v>
      </c>
      <c r="L89" s="386">
        <f t="shared" si="61"/>
        <v>50000</v>
      </c>
      <c r="M89" s="581">
        <f t="shared" si="61"/>
        <v>376725</v>
      </c>
      <c r="N89" s="409">
        <f t="shared" ref="N89:N93" si="62">AVERAGE(J89/H89*100)</f>
        <v>113.63636363636364</v>
      </c>
      <c r="O89" s="427">
        <f>AVERAGE(L89/J89*100)</f>
        <v>100</v>
      </c>
    </row>
    <row r="90" spans="1:15" ht="14.4" thickBot="1" x14ac:dyDescent="0.3">
      <c r="A90" s="379" t="s">
        <v>445</v>
      </c>
      <c r="B90" s="488"/>
      <c r="C90" s="399">
        <v>329</v>
      </c>
      <c r="D90" s="390" t="s">
        <v>65</v>
      </c>
      <c r="E90" s="387">
        <f t="shared" ref="E90:L90" si="63">SUM(E91:E93)</f>
        <v>175000</v>
      </c>
      <c r="F90" s="387">
        <f t="shared" si="63"/>
        <v>185000</v>
      </c>
      <c r="G90" s="387">
        <f t="shared" si="63"/>
        <v>24553.719556705822</v>
      </c>
      <c r="H90" s="387">
        <f t="shared" si="63"/>
        <v>44000</v>
      </c>
      <c r="I90" s="387">
        <f t="shared" si="63"/>
        <v>331518</v>
      </c>
      <c r="J90" s="387">
        <f t="shared" si="63"/>
        <v>50000</v>
      </c>
      <c r="K90" s="387">
        <f t="shared" si="63"/>
        <v>376725</v>
      </c>
      <c r="L90" s="387">
        <f t="shared" si="63"/>
        <v>50000</v>
      </c>
      <c r="M90" s="580">
        <f t="shared" ref="M90" si="64">SUM(M91:M93)</f>
        <v>376725</v>
      </c>
      <c r="N90" s="409">
        <f t="shared" si="62"/>
        <v>113.63636363636364</v>
      </c>
      <c r="O90" s="427">
        <f t="shared" ref="O90:O93" si="65">AVERAGE(L90/J90*100)</f>
        <v>100</v>
      </c>
    </row>
    <row r="91" spans="1:15" ht="13.8" hidden="1" x14ac:dyDescent="0.25">
      <c r="A91" s="379" t="s">
        <v>445</v>
      </c>
      <c r="B91" s="488"/>
      <c r="C91" s="399">
        <v>3291</v>
      </c>
      <c r="D91" s="390" t="s">
        <v>66</v>
      </c>
      <c r="E91" s="387">
        <v>150000</v>
      </c>
      <c r="F91" s="387">
        <v>140000</v>
      </c>
      <c r="G91" s="387">
        <f>F91/7.5345</f>
        <v>18581.193178047648</v>
      </c>
      <c r="H91" s="387">
        <v>35000</v>
      </c>
      <c r="I91" s="580">
        <f>H91*7.5345</f>
        <v>263707.5</v>
      </c>
      <c r="J91" s="387">
        <v>40000</v>
      </c>
      <c r="K91" s="580">
        <f>J91*7.5345</f>
        <v>301380</v>
      </c>
      <c r="L91" s="387">
        <v>40000</v>
      </c>
      <c r="M91" s="580">
        <f>L91*7.5345</f>
        <v>301380</v>
      </c>
      <c r="N91" s="409">
        <f t="shared" si="62"/>
        <v>114.28571428571428</v>
      </c>
      <c r="O91" s="427">
        <f t="shared" si="65"/>
        <v>100</v>
      </c>
    </row>
    <row r="92" spans="1:15" ht="13.8" hidden="1" x14ac:dyDescent="0.25">
      <c r="A92" s="379" t="s">
        <v>445</v>
      </c>
      <c r="B92" s="488"/>
      <c r="C92" s="399">
        <v>3293</v>
      </c>
      <c r="D92" s="390" t="s">
        <v>68</v>
      </c>
      <c r="E92" s="387">
        <v>10000</v>
      </c>
      <c r="F92" s="387">
        <v>15000</v>
      </c>
      <c r="G92" s="387">
        <f>F92/7.5345</f>
        <v>1990.8421262193906</v>
      </c>
      <c r="H92" s="728">
        <v>5000</v>
      </c>
      <c r="I92" s="735">
        <f>H92*7.5345</f>
        <v>37672.5</v>
      </c>
      <c r="J92" s="728">
        <v>5000</v>
      </c>
      <c r="K92" s="735">
        <f>J92*7.5345</f>
        <v>37672.5</v>
      </c>
      <c r="L92" s="728">
        <v>5000</v>
      </c>
      <c r="M92" s="580">
        <f>L92*7.5345</f>
        <v>37672.5</v>
      </c>
      <c r="N92" s="409">
        <f t="shared" si="62"/>
        <v>100</v>
      </c>
      <c r="O92" s="427">
        <f t="shared" si="65"/>
        <v>100</v>
      </c>
    </row>
    <row r="93" spans="1:15" ht="14.4" hidden="1" thickBot="1" x14ac:dyDescent="0.3">
      <c r="A93" s="379" t="s">
        <v>445</v>
      </c>
      <c r="B93" s="495"/>
      <c r="C93" s="423">
        <v>3294</v>
      </c>
      <c r="D93" s="398" t="s">
        <v>69</v>
      </c>
      <c r="E93" s="385">
        <v>15000</v>
      </c>
      <c r="F93" s="385">
        <v>30000</v>
      </c>
      <c r="G93" s="387">
        <f>F93/7.5345</f>
        <v>3981.6842524387812</v>
      </c>
      <c r="H93" s="387">
        <v>4000</v>
      </c>
      <c r="I93" s="580">
        <f>H93*7.5345</f>
        <v>30138</v>
      </c>
      <c r="J93" s="387">
        <v>5000</v>
      </c>
      <c r="K93" s="580">
        <f>J93*7.5345</f>
        <v>37672.5</v>
      </c>
      <c r="L93" s="387">
        <v>5000</v>
      </c>
      <c r="M93" s="580">
        <f>L93*7.5345</f>
        <v>37672.5</v>
      </c>
      <c r="N93" s="409">
        <f t="shared" si="62"/>
        <v>125</v>
      </c>
      <c r="O93" s="427">
        <f t="shared" si="65"/>
        <v>100</v>
      </c>
    </row>
    <row r="94" spans="1:15" s="607" customFormat="1" ht="18" thickBot="1" x14ac:dyDescent="0.3">
      <c r="A94" s="950" t="s">
        <v>444</v>
      </c>
      <c r="B94" s="951"/>
      <c r="C94" s="951"/>
      <c r="D94" s="952"/>
      <c r="E94" s="593">
        <v>0</v>
      </c>
      <c r="F94" s="593">
        <f t="shared" ref="F94:I94" si="66">SUM(F97)</f>
        <v>0</v>
      </c>
      <c r="G94" s="593">
        <f t="shared" si="66"/>
        <v>0</v>
      </c>
      <c r="H94" s="593">
        <f t="shared" si="66"/>
        <v>32500</v>
      </c>
      <c r="I94" s="598">
        <f t="shared" si="66"/>
        <v>4247.1298692680339</v>
      </c>
      <c r="J94" s="593">
        <f t="shared" ref="J94:L94" si="67">SUM(J97)</f>
        <v>0</v>
      </c>
      <c r="K94" s="598">
        <f t="shared" ref="K94:M94" si="68">SUM(K97)</f>
        <v>0</v>
      </c>
      <c r="L94" s="593">
        <f t="shared" si="67"/>
        <v>0</v>
      </c>
      <c r="M94" s="598">
        <f t="shared" si="68"/>
        <v>0</v>
      </c>
      <c r="N94" s="608">
        <v>0</v>
      </c>
      <c r="O94" s="601">
        <v>0</v>
      </c>
    </row>
    <row r="95" spans="1:15" ht="13.8" x14ac:dyDescent="0.25">
      <c r="A95" s="426"/>
      <c r="B95" s="42"/>
      <c r="C95" s="42"/>
      <c r="D95" s="420" t="s">
        <v>178</v>
      </c>
      <c r="E95" s="397"/>
      <c r="F95" s="396"/>
      <c r="G95" s="396"/>
      <c r="H95" s="396"/>
      <c r="I95" s="577"/>
      <c r="J95" s="396"/>
      <c r="K95" s="577"/>
      <c r="L95" s="396"/>
      <c r="M95" s="577"/>
      <c r="N95" s="406"/>
      <c r="O95" s="434"/>
    </row>
    <row r="96" spans="1:15" ht="13.8" x14ac:dyDescent="0.25">
      <c r="A96" s="426"/>
      <c r="B96" s="42"/>
      <c r="C96" s="42"/>
      <c r="D96" s="420" t="s">
        <v>670</v>
      </c>
      <c r="E96" s="387"/>
      <c r="F96" s="396"/>
      <c r="G96" s="396"/>
      <c r="H96" s="396"/>
      <c r="I96" s="577"/>
      <c r="J96" s="396"/>
      <c r="K96" s="577"/>
      <c r="L96" s="396"/>
      <c r="M96" s="577"/>
      <c r="N96" s="406"/>
      <c r="O96" s="434"/>
    </row>
    <row r="97" spans="1:15" s="117" customFormat="1" ht="15.6" x14ac:dyDescent="0.3">
      <c r="A97" s="458"/>
      <c r="D97" s="455" t="s">
        <v>624</v>
      </c>
      <c r="E97" s="459">
        <v>0</v>
      </c>
      <c r="F97" s="457">
        <f t="shared" ref="F97:M97" si="69">SUM(F98+F105)</f>
        <v>0</v>
      </c>
      <c r="G97" s="457">
        <f t="shared" si="69"/>
        <v>0</v>
      </c>
      <c r="H97" s="457">
        <f t="shared" si="69"/>
        <v>32500</v>
      </c>
      <c r="I97" s="457">
        <f t="shared" si="69"/>
        <v>4247.1298692680339</v>
      </c>
      <c r="J97" s="457">
        <f t="shared" si="69"/>
        <v>0</v>
      </c>
      <c r="K97" s="457">
        <f t="shared" si="69"/>
        <v>0</v>
      </c>
      <c r="L97" s="457">
        <f t="shared" si="69"/>
        <v>0</v>
      </c>
      <c r="M97" s="578">
        <f t="shared" si="69"/>
        <v>0</v>
      </c>
      <c r="N97" s="460">
        <v>0</v>
      </c>
      <c r="O97" s="461">
        <v>0</v>
      </c>
    </row>
    <row r="98" spans="1:15" s="29" customFormat="1" ht="13.8" x14ac:dyDescent="0.25">
      <c r="A98" s="382" t="s">
        <v>446</v>
      </c>
      <c r="B98" s="489"/>
      <c r="C98" s="401">
        <v>32</v>
      </c>
      <c r="D98" s="378" t="s">
        <v>180</v>
      </c>
      <c r="E98" s="386">
        <v>0</v>
      </c>
      <c r="F98" s="386">
        <f t="shared" ref="F98:M98" si="70">SUM(F101+F103)</f>
        <v>0</v>
      </c>
      <c r="G98" s="386">
        <f t="shared" si="70"/>
        <v>0</v>
      </c>
      <c r="H98" s="386">
        <f>SUM(H99+H101+H103)</f>
        <v>22500</v>
      </c>
      <c r="I98" s="386">
        <f t="shared" ref="I98:L98" si="71">SUM(I99+I101+I103)</f>
        <v>2919.9017851217732</v>
      </c>
      <c r="J98" s="386">
        <f t="shared" si="71"/>
        <v>0</v>
      </c>
      <c r="K98" s="386">
        <f t="shared" si="71"/>
        <v>0</v>
      </c>
      <c r="L98" s="386">
        <f t="shared" si="71"/>
        <v>0</v>
      </c>
      <c r="M98" s="581">
        <f t="shared" si="70"/>
        <v>0</v>
      </c>
      <c r="N98" s="404">
        <v>0</v>
      </c>
      <c r="O98" s="428">
        <v>0</v>
      </c>
    </row>
    <row r="99" spans="1:15" s="29" customFormat="1" ht="13.8" x14ac:dyDescent="0.25">
      <c r="A99" s="379" t="s">
        <v>446</v>
      </c>
      <c r="B99" s="489"/>
      <c r="C99" s="399">
        <v>322</v>
      </c>
      <c r="D99" s="391" t="s">
        <v>52</v>
      </c>
      <c r="E99" s="386"/>
      <c r="F99" s="386"/>
      <c r="G99" s="386"/>
      <c r="H99" s="387">
        <f>H100</f>
        <v>500</v>
      </c>
      <c r="I99" s="581"/>
      <c r="J99" s="387">
        <v>0</v>
      </c>
      <c r="K99" s="581"/>
      <c r="L99" s="387">
        <v>0</v>
      </c>
      <c r="M99" s="581"/>
      <c r="N99" s="404"/>
      <c r="O99" s="428"/>
    </row>
    <row r="100" spans="1:15" s="29" customFormat="1" ht="13.8" hidden="1" x14ac:dyDescent="0.25">
      <c r="A100" s="379" t="s">
        <v>446</v>
      </c>
      <c r="B100" s="489"/>
      <c r="C100" s="399">
        <v>3221</v>
      </c>
      <c r="D100" s="391" t="s">
        <v>53</v>
      </c>
      <c r="E100" s="386"/>
      <c r="F100" s="386"/>
      <c r="G100" s="386"/>
      <c r="H100" s="387">
        <v>500</v>
      </c>
      <c r="I100" s="581"/>
      <c r="J100" s="387">
        <v>0</v>
      </c>
      <c r="K100" s="581"/>
      <c r="L100" s="387">
        <v>0</v>
      </c>
      <c r="M100" s="581"/>
      <c r="N100" s="404"/>
      <c r="O100" s="428"/>
    </row>
    <row r="101" spans="1:15" ht="13.8" x14ac:dyDescent="0.25">
      <c r="A101" s="379" t="s">
        <v>446</v>
      </c>
      <c r="B101" s="488"/>
      <c r="C101" s="399">
        <v>323</v>
      </c>
      <c r="D101" s="390" t="s">
        <v>56</v>
      </c>
      <c r="E101" s="387">
        <v>0</v>
      </c>
      <c r="F101" s="387">
        <f t="shared" ref="F101:M101" si="72">SUM(F102)</f>
        <v>0</v>
      </c>
      <c r="G101" s="387">
        <f t="shared" si="72"/>
        <v>0</v>
      </c>
      <c r="H101" s="387">
        <f>H102</f>
        <v>2000</v>
      </c>
      <c r="I101" s="580">
        <f t="shared" si="72"/>
        <v>265.44561682925212</v>
      </c>
      <c r="J101" s="387">
        <f t="shared" si="72"/>
        <v>0</v>
      </c>
      <c r="K101" s="580">
        <f t="shared" si="72"/>
        <v>0</v>
      </c>
      <c r="L101" s="387">
        <f t="shared" si="72"/>
        <v>0</v>
      </c>
      <c r="M101" s="580">
        <f t="shared" si="72"/>
        <v>0</v>
      </c>
      <c r="N101" s="404">
        <v>0</v>
      </c>
      <c r="O101" s="428">
        <v>0</v>
      </c>
    </row>
    <row r="102" spans="1:15" ht="13.8" hidden="1" x14ac:dyDescent="0.25">
      <c r="A102" s="379" t="s">
        <v>446</v>
      </c>
      <c r="B102" s="488"/>
      <c r="C102" s="399">
        <v>3239</v>
      </c>
      <c r="D102" s="390" t="s">
        <v>64</v>
      </c>
      <c r="E102" s="387">
        <v>0</v>
      </c>
      <c r="F102" s="387">
        <v>0</v>
      </c>
      <c r="G102" s="387">
        <f t="shared" ref="G102:M102" si="73">F102/7.5345</f>
        <v>0</v>
      </c>
      <c r="H102" s="387">
        <v>2000</v>
      </c>
      <c r="I102" s="580">
        <f t="shared" si="73"/>
        <v>265.44561682925212</v>
      </c>
      <c r="J102" s="387">
        <v>0</v>
      </c>
      <c r="K102" s="580">
        <f t="shared" si="73"/>
        <v>0</v>
      </c>
      <c r="L102" s="387">
        <f t="shared" si="73"/>
        <v>0</v>
      </c>
      <c r="M102" s="580">
        <f t="shared" si="73"/>
        <v>0</v>
      </c>
      <c r="N102" s="404">
        <v>0</v>
      </c>
      <c r="O102" s="428">
        <v>0</v>
      </c>
    </row>
    <row r="103" spans="1:15" ht="13.8" x14ac:dyDescent="0.25">
      <c r="A103" s="379" t="s">
        <v>446</v>
      </c>
      <c r="B103" s="488"/>
      <c r="C103" s="399">
        <v>329</v>
      </c>
      <c r="D103" s="390" t="s">
        <v>65</v>
      </c>
      <c r="E103" s="387">
        <v>0</v>
      </c>
      <c r="F103" s="387">
        <f t="shared" ref="F103:M103" si="74">SUM(F104)</f>
        <v>0</v>
      </c>
      <c r="G103" s="387">
        <f t="shared" si="74"/>
        <v>0</v>
      </c>
      <c r="H103" s="387">
        <f t="shared" si="74"/>
        <v>20000</v>
      </c>
      <c r="I103" s="580">
        <f t="shared" si="74"/>
        <v>2654.4561682925209</v>
      </c>
      <c r="J103" s="387">
        <f t="shared" si="74"/>
        <v>0</v>
      </c>
      <c r="K103" s="580">
        <f t="shared" si="74"/>
        <v>0</v>
      </c>
      <c r="L103" s="387">
        <f t="shared" si="74"/>
        <v>0</v>
      </c>
      <c r="M103" s="580">
        <f t="shared" si="74"/>
        <v>0</v>
      </c>
      <c r="N103" s="404">
        <v>0</v>
      </c>
      <c r="O103" s="428">
        <v>0</v>
      </c>
    </row>
    <row r="104" spans="1:15" ht="13.8" hidden="1" x14ac:dyDescent="0.25">
      <c r="A104" s="379" t="s">
        <v>446</v>
      </c>
      <c r="B104" s="488"/>
      <c r="C104" s="399">
        <v>3291</v>
      </c>
      <c r="D104" s="390" t="s">
        <v>66</v>
      </c>
      <c r="E104" s="387">
        <v>0</v>
      </c>
      <c r="F104" s="387">
        <v>0</v>
      </c>
      <c r="G104" s="387">
        <f t="shared" ref="G104:M104" si="75">F104/7.5345</f>
        <v>0</v>
      </c>
      <c r="H104" s="387">
        <v>20000</v>
      </c>
      <c r="I104" s="580">
        <f t="shared" si="75"/>
        <v>2654.4561682925209</v>
      </c>
      <c r="J104" s="387">
        <v>0</v>
      </c>
      <c r="K104" s="580">
        <f t="shared" si="75"/>
        <v>0</v>
      </c>
      <c r="L104" s="387">
        <v>0</v>
      </c>
      <c r="M104" s="580">
        <f t="shared" si="75"/>
        <v>0</v>
      </c>
      <c r="N104" s="404">
        <v>0</v>
      </c>
      <c r="O104" s="428">
        <v>0</v>
      </c>
    </row>
    <row r="105" spans="1:15" s="29" customFormat="1" ht="13.8" x14ac:dyDescent="0.25">
      <c r="A105" s="382" t="s">
        <v>446</v>
      </c>
      <c r="B105" s="489"/>
      <c r="C105" s="401">
        <v>38</v>
      </c>
      <c r="D105" s="388" t="s">
        <v>198</v>
      </c>
      <c r="E105" s="386">
        <v>0</v>
      </c>
      <c r="F105" s="386">
        <f t="shared" ref="F105:M106" si="76">SUM(F106)</f>
        <v>0</v>
      </c>
      <c r="G105" s="386">
        <f t="shared" si="76"/>
        <v>0</v>
      </c>
      <c r="H105" s="386">
        <f t="shared" si="76"/>
        <v>10000</v>
      </c>
      <c r="I105" s="386">
        <f t="shared" si="76"/>
        <v>1327.2280841462605</v>
      </c>
      <c r="J105" s="386">
        <f t="shared" si="76"/>
        <v>0</v>
      </c>
      <c r="K105" s="386">
        <f t="shared" si="76"/>
        <v>0</v>
      </c>
      <c r="L105" s="386">
        <f t="shared" si="76"/>
        <v>0</v>
      </c>
      <c r="M105" s="581">
        <f t="shared" si="76"/>
        <v>0</v>
      </c>
      <c r="N105" s="404">
        <v>0</v>
      </c>
      <c r="O105" s="428">
        <v>0</v>
      </c>
    </row>
    <row r="106" spans="1:15" ht="14.4" thickBot="1" x14ac:dyDescent="0.3">
      <c r="A106" s="379" t="s">
        <v>446</v>
      </c>
      <c r="B106" s="488"/>
      <c r="C106" s="399">
        <v>381</v>
      </c>
      <c r="D106" s="390" t="s">
        <v>37</v>
      </c>
      <c r="E106" s="387">
        <v>0</v>
      </c>
      <c r="F106" s="387">
        <f t="shared" si="76"/>
        <v>0</v>
      </c>
      <c r="G106" s="387">
        <f t="shared" si="76"/>
        <v>0</v>
      </c>
      <c r="H106" s="387">
        <f t="shared" si="76"/>
        <v>10000</v>
      </c>
      <c r="I106" s="580">
        <f t="shared" si="76"/>
        <v>1327.2280841462605</v>
      </c>
      <c r="J106" s="387">
        <f t="shared" si="76"/>
        <v>0</v>
      </c>
      <c r="K106" s="580">
        <f t="shared" si="76"/>
        <v>0</v>
      </c>
      <c r="L106" s="387">
        <f t="shared" si="76"/>
        <v>0</v>
      </c>
      <c r="M106" s="580">
        <f t="shared" si="76"/>
        <v>0</v>
      </c>
      <c r="N106" s="404">
        <v>0</v>
      </c>
      <c r="O106" s="428">
        <v>0</v>
      </c>
    </row>
    <row r="107" spans="1:15" ht="14.4" hidden="1" thickBot="1" x14ac:dyDescent="0.3">
      <c r="A107" s="379" t="s">
        <v>446</v>
      </c>
      <c r="B107" s="495"/>
      <c r="C107" s="423">
        <v>3811</v>
      </c>
      <c r="D107" s="398" t="s">
        <v>399</v>
      </c>
      <c r="E107" s="385">
        <v>0</v>
      </c>
      <c r="F107" s="385">
        <v>0</v>
      </c>
      <c r="G107" s="387">
        <f t="shared" ref="G107:M107" si="77">F107/7.5345</f>
        <v>0</v>
      </c>
      <c r="H107" s="387">
        <v>10000</v>
      </c>
      <c r="I107" s="580">
        <f t="shared" si="77"/>
        <v>1327.2280841462605</v>
      </c>
      <c r="J107" s="387">
        <v>0</v>
      </c>
      <c r="K107" s="580">
        <f t="shared" si="77"/>
        <v>0</v>
      </c>
      <c r="L107" s="387">
        <v>0</v>
      </c>
      <c r="M107" s="580">
        <f t="shared" si="77"/>
        <v>0</v>
      </c>
      <c r="N107" s="407">
        <v>0</v>
      </c>
      <c r="O107" s="433">
        <v>0</v>
      </c>
    </row>
    <row r="108" spans="1:15" s="607" customFormat="1" ht="18" thickBot="1" x14ac:dyDescent="0.3">
      <c r="A108" s="939" t="s">
        <v>625</v>
      </c>
      <c r="B108" s="940"/>
      <c r="C108" s="940"/>
      <c r="D108" s="941"/>
      <c r="E108" s="593">
        <v>97000</v>
      </c>
      <c r="F108" s="593" t="e">
        <f t="shared" ref="F108:I108" si="78">SUM(F111+F117)</f>
        <v>#REF!</v>
      </c>
      <c r="G108" s="593" t="e">
        <f t="shared" si="78"/>
        <v>#REF!</v>
      </c>
      <c r="H108" s="593">
        <f t="shared" si="78"/>
        <v>30000</v>
      </c>
      <c r="I108" s="598">
        <f t="shared" si="78"/>
        <v>226035</v>
      </c>
      <c r="J108" s="593">
        <f t="shared" ref="J108:L108" si="79">SUM(J111+J117)</f>
        <v>30000</v>
      </c>
      <c r="K108" s="598">
        <f t="shared" ref="K108:M108" si="80">SUM(K111+K117)</f>
        <v>226035</v>
      </c>
      <c r="L108" s="593">
        <f t="shared" si="79"/>
        <v>30000</v>
      </c>
      <c r="M108" s="598" t="e">
        <f t="shared" si="80"/>
        <v>#REF!</v>
      </c>
      <c r="N108" s="600">
        <f>AVERAGE(J108/H108*100)</f>
        <v>100</v>
      </c>
      <c r="O108" s="601">
        <f>AVERAGE(L108/J108*100)</f>
        <v>100</v>
      </c>
    </row>
    <row r="109" spans="1:15" ht="13.8" x14ac:dyDescent="0.25">
      <c r="A109" s="426"/>
      <c r="B109" s="42"/>
      <c r="C109" s="42"/>
      <c r="D109" s="421" t="s">
        <v>178</v>
      </c>
      <c r="E109" s="397"/>
      <c r="F109" s="396"/>
      <c r="G109" s="396"/>
      <c r="H109" s="396"/>
      <c r="I109" s="577"/>
      <c r="J109" s="396"/>
      <c r="K109" s="577"/>
      <c r="L109" s="396"/>
      <c r="M109" s="577"/>
      <c r="N109" s="942">
        <f>AVERAGE(J111/H111*100)</f>
        <v>100</v>
      </c>
      <c r="O109" s="944">
        <f>AVERAGE(L111/J111*100)</f>
        <v>100</v>
      </c>
    </row>
    <row r="110" spans="1:15" ht="13.8" x14ac:dyDescent="0.25">
      <c r="A110" s="426"/>
      <c r="B110" s="42"/>
      <c r="C110" s="42"/>
      <c r="D110" s="420" t="s">
        <v>673</v>
      </c>
      <c r="E110" s="387"/>
      <c r="F110" s="396"/>
      <c r="G110" s="396"/>
      <c r="H110" s="396"/>
      <c r="I110" s="577"/>
      <c r="J110" s="396"/>
      <c r="K110" s="577"/>
      <c r="L110" s="396"/>
      <c r="M110" s="577"/>
      <c r="N110" s="943"/>
      <c r="O110" s="945"/>
    </row>
    <row r="111" spans="1:15" s="117" customFormat="1" ht="31.2" x14ac:dyDescent="0.3">
      <c r="A111" s="458"/>
      <c r="D111" s="462" t="s">
        <v>467</v>
      </c>
      <c r="E111" s="459">
        <v>87000</v>
      </c>
      <c r="F111" s="457">
        <f t="shared" ref="F111:M113" si="81">SUM(F112)</f>
        <v>100000</v>
      </c>
      <c r="G111" s="457">
        <f t="shared" si="81"/>
        <v>13272.280841462605</v>
      </c>
      <c r="H111" s="457">
        <f t="shared" si="81"/>
        <v>15000</v>
      </c>
      <c r="I111" s="457">
        <f t="shared" si="81"/>
        <v>113017.5</v>
      </c>
      <c r="J111" s="457">
        <f t="shared" si="81"/>
        <v>15000</v>
      </c>
      <c r="K111" s="457">
        <f t="shared" si="81"/>
        <v>113017.5</v>
      </c>
      <c r="L111" s="457">
        <f t="shared" si="81"/>
        <v>15000</v>
      </c>
      <c r="M111" s="578">
        <f t="shared" si="81"/>
        <v>113017.5</v>
      </c>
      <c r="N111" s="943"/>
      <c r="O111" s="945"/>
    </row>
    <row r="112" spans="1:15" s="29" customFormat="1" ht="13.8" x14ac:dyDescent="0.25">
      <c r="A112" s="382" t="s">
        <v>446</v>
      </c>
      <c r="B112" s="489"/>
      <c r="C112" s="378">
        <v>35</v>
      </c>
      <c r="D112" s="389" t="s">
        <v>75</v>
      </c>
      <c r="E112" s="386">
        <v>87000</v>
      </c>
      <c r="F112" s="386">
        <f t="shared" si="81"/>
        <v>100000</v>
      </c>
      <c r="G112" s="386">
        <f t="shared" si="81"/>
        <v>13272.280841462605</v>
      </c>
      <c r="H112" s="386">
        <f t="shared" si="81"/>
        <v>15000</v>
      </c>
      <c r="I112" s="386">
        <f t="shared" si="81"/>
        <v>113017.5</v>
      </c>
      <c r="J112" s="386">
        <f t="shared" si="81"/>
        <v>15000</v>
      </c>
      <c r="K112" s="386">
        <f t="shared" si="81"/>
        <v>113017.5</v>
      </c>
      <c r="L112" s="386">
        <f t="shared" si="81"/>
        <v>15000</v>
      </c>
      <c r="M112" s="581">
        <f t="shared" si="81"/>
        <v>113017.5</v>
      </c>
      <c r="N112" s="409">
        <f t="shared" ref="N112:N114" si="82">AVERAGE(J112/H112*100)</f>
        <v>100</v>
      </c>
      <c r="O112" s="427">
        <f>AVERAGE(L112/J112*100)</f>
        <v>100</v>
      </c>
    </row>
    <row r="113" spans="1:15" ht="14.4" thickBot="1" x14ac:dyDescent="0.3">
      <c r="A113" s="379" t="s">
        <v>446</v>
      </c>
      <c r="B113" s="488"/>
      <c r="C113" s="391">
        <v>352</v>
      </c>
      <c r="D113" s="392" t="s">
        <v>400</v>
      </c>
      <c r="E113" s="387">
        <v>87000</v>
      </c>
      <c r="F113" s="387">
        <f t="shared" si="81"/>
        <v>100000</v>
      </c>
      <c r="G113" s="387">
        <f t="shared" si="81"/>
        <v>13272.280841462605</v>
      </c>
      <c r="H113" s="387">
        <f t="shared" si="81"/>
        <v>15000</v>
      </c>
      <c r="I113" s="387">
        <f t="shared" si="81"/>
        <v>113017.5</v>
      </c>
      <c r="J113" s="387">
        <f t="shared" si="81"/>
        <v>15000</v>
      </c>
      <c r="K113" s="387">
        <f t="shared" si="81"/>
        <v>113017.5</v>
      </c>
      <c r="L113" s="387">
        <f t="shared" si="81"/>
        <v>15000</v>
      </c>
      <c r="M113" s="580">
        <f t="shared" si="81"/>
        <v>113017.5</v>
      </c>
      <c r="N113" s="409">
        <f t="shared" si="82"/>
        <v>100</v>
      </c>
      <c r="O113" s="427">
        <f t="shared" ref="O113:O114" si="83">AVERAGE(L113/J113*100)</f>
        <v>100</v>
      </c>
    </row>
    <row r="114" spans="1:15" s="415" customFormat="1" ht="14.4" hidden="1" thickBot="1" x14ac:dyDescent="0.3">
      <c r="A114" s="432" t="s">
        <v>446</v>
      </c>
      <c r="B114" s="490"/>
      <c r="C114" s="411">
        <v>3522</v>
      </c>
      <c r="D114" s="412" t="s">
        <v>401</v>
      </c>
      <c r="E114" s="413">
        <v>87000</v>
      </c>
      <c r="F114" s="413">
        <v>100000</v>
      </c>
      <c r="G114" s="413">
        <f>F114/7.5345</f>
        <v>13272.280841462605</v>
      </c>
      <c r="H114" s="413">
        <v>15000</v>
      </c>
      <c r="I114" s="582">
        <f>H114*7.5345</f>
        <v>113017.5</v>
      </c>
      <c r="J114" s="413">
        <v>15000</v>
      </c>
      <c r="K114" s="582">
        <f>J114*7.5345</f>
        <v>113017.5</v>
      </c>
      <c r="L114" s="413">
        <v>15000</v>
      </c>
      <c r="M114" s="582">
        <f>L114*7.5345</f>
        <v>113017.5</v>
      </c>
      <c r="N114" s="479">
        <f t="shared" si="82"/>
        <v>100</v>
      </c>
      <c r="O114" s="480">
        <f t="shared" si="83"/>
        <v>100</v>
      </c>
    </row>
    <row r="115" spans="1:15" ht="13.8" x14ac:dyDescent="0.25">
      <c r="A115" s="426"/>
      <c r="B115" s="493"/>
      <c r="C115" s="42"/>
      <c r="D115" s="421" t="s">
        <v>178</v>
      </c>
      <c r="E115" s="397"/>
      <c r="F115" s="396"/>
      <c r="G115" s="396"/>
      <c r="H115" s="396"/>
      <c r="I115" s="577"/>
      <c r="J115" s="396"/>
      <c r="K115" s="577"/>
      <c r="L115" s="396"/>
      <c r="M115" s="577"/>
      <c r="N115" s="942">
        <f>AVERAGE(J117/H117*100)</f>
        <v>100</v>
      </c>
      <c r="O115" s="944">
        <f>AVERAGE(L117/J117*100)</f>
        <v>100</v>
      </c>
    </row>
    <row r="116" spans="1:15" ht="13.8" x14ac:dyDescent="0.25">
      <c r="A116" s="426"/>
      <c r="B116" s="493"/>
      <c r="C116" s="42"/>
      <c r="D116" s="420" t="s">
        <v>256</v>
      </c>
      <c r="E116" s="387"/>
      <c r="F116" s="396"/>
      <c r="G116" s="396"/>
      <c r="H116" s="396"/>
      <c r="I116" s="577"/>
      <c r="J116" s="396"/>
      <c r="K116" s="577"/>
      <c r="L116" s="396"/>
      <c r="M116" s="577"/>
      <c r="N116" s="943"/>
      <c r="O116" s="945"/>
    </row>
    <row r="117" spans="1:15" s="117" customFormat="1" ht="31.2" x14ac:dyDescent="0.3">
      <c r="A117" s="458"/>
      <c r="B117" s="494"/>
      <c r="D117" s="462" t="s">
        <v>421</v>
      </c>
      <c r="E117" s="459">
        <v>87000</v>
      </c>
      <c r="F117" s="457" t="e">
        <f t="shared" ref="F117:M119" si="84">SUM(F118)</f>
        <v>#REF!</v>
      </c>
      <c r="G117" s="457" t="e">
        <f t="shared" si="84"/>
        <v>#REF!</v>
      </c>
      <c r="H117" s="457">
        <f t="shared" si="84"/>
        <v>15000</v>
      </c>
      <c r="I117" s="457">
        <f t="shared" si="84"/>
        <v>113017.5</v>
      </c>
      <c r="J117" s="457">
        <f t="shared" si="84"/>
        <v>15000</v>
      </c>
      <c r="K117" s="457">
        <f t="shared" si="84"/>
        <v>113017.5</v>
      </c>
      <c r="L117" s="457">
        <f t="shared" si="84"/>
        <v>15000</v>
      </c>
      <c r="M117" s="457" t="e">
        <f t="shared" si="84"/>
        <v>#REF!</v>
      </c>
      <c r="N117" s="943"/>
      <c r="O117" s="945"/>
    </row>
    <row r="118" spans="1:15" s="29" customFormat="1" ht="13.8" x14ac:dyDescent="0.25">
      <c r="A118" s="382" t="s">
        <v>528</v>
      </c>
      <c r="B118" s="489"/>
      <c r="C118" s="378">
        <v>35</v>
      </c>
      <c r="D118" s="389" t="s">
        <v>75</v>
      </c>
      <c r="E118" s="386">
        <v>87000</v>
      </c>
      <c r="F118" s="386" t="e">
        <f t="shared" si="84"/>
        <v>#REF!</v>
      </c>
      <c r="G118" s="386" t="e">
        <f t="shared" si="84"/>
        <v>#REF!</v>
      </c>
      <c r="H118" s="386">
        <f t="shared" si="84"/>
        <v>15000</v>
      </c>
      <c r="I118" s="386">
        <f t="shared" si="84"/>
        <v>113017.5</v>
      </c>
      <c r="J118" s="386">
        <f t="shared" si="84"/>
        <v>15000</v>
      </c>
      <c r="K118" s="386">
        <f t="shared" si="84"/>
        <v>113017.5</v>
      </c>
      <c r="L118" s="386">
        <f t="shared" si="84"/>
        <v>15000</v>
      </c>
      <c r="M118" s="581" t="e">
        <f t="shared" si="84"/>
        <v>#REF!</v>
      </c>
      <c r="N118" s="409">
        <f t="shared" ref="N118:N120" si="85">AVERAGE(J118/H118*100)</f>
        <v>100</v>
      </c>
      <c r="O118" s="427">
        <f>AVERAGE(L118/J118*100)</f>
        <v>100</v>
      </c>
    </row>
    <row r="119" spans="1:15" ht="14.4" thickBot="1" x14ac:dyDescent="0.3">
      <c r="A119" s="379" t="s">
        <v>528</v>
      </c>
      <c r="B119" s="488"/>
      <c r="C119" s="391">
        <v>352</v>
      </c>
      <c r="D119" s="392" t="s">
        <v>400</v>
      </c>
      <c r="E119" s="387">
        <v>87000</v>
      </c>
      <c r="F119" s="387" t="e">
        <f>SUM(F120+#REF!)</f>
        <v>#REF!</v>
      </c>
      <c r="G119" s="387" t="e">
        <f>SUM(G120+#REF!)</f>
        <v>#REF!</v>
      </c>
      <c r="H119" s="387">
        <f>SUM(H120)</f>
        <v>15000</v>
      </c>
      <c r="I119" s="387">
        <f t="shared" si="84"/>
        <v>113017.5</v>
      </c>
      <c r="J119" s="387">
        <f t="shared" si="84"/>
        <v>15000</v>
      </c>
      <c r="K119" s="387">
        <f t="shared" si="84"/>
        <v>113017.5</v>
      </c>
      <c r="L119" s="387">
        <f t="shared" si="84"/>
        <v>15000</v>
      </c>
      <c r="M119" s="580" t="e">
        <f>SUM(M120+#REF!)</f>
        <v>#REF!</v>
      </c>
      <c r="N119" s="409">
        <f t="shared" si="85"/>
        <v>100</v>
      </c>
      <c r="O119" s="427">
        <f t="shared" ref="O119:O120" si="86">AVERAGE(L119/J119*100)</f>
        <v>100</v>
      </c>
    </row>
    <row r="120" spans="1:15" ht="14.25" hidden="1" customHeight="1" thickBot="1" x14ac:dyDescent="0.3">
      <c r="A120" s="379" t="s">
        <v>528</v>
      </c>
      <c r="B120" s="495"/>
      <c r="C120" s="424">
        <v>3523</v>
      </c>
      <c r="D120" s="394" t="s">
        <v>481</v>
      </c>
      <c r="E120" s="385">
        <v>87000</v>
      </c>
      <c r="F120" s="385">
        <v>50000</v>
      </c>
      <c r="G120" s="387">
        <f>F120/7.5345</f>
        <v>6636.1404207313026</v>
      </c>
      <c r="H120" s="387">
        <v>15000</v>
      </c>
      <c r="I120" s="580">
        <f>H120*7.5345</f>
        <v>113017.5</v>
      </c>
      <c r="J120" s="387">
        <v>15000</v>
      </c>
      <c r="K120" s="580">
        <f>J120*7.5345</f>
        <v>113017.5</v>
      </c>
      <c r="L120" s="387">
        <v>15000</v>
      </c>
      <c r="M120" s="580">
        <f>L120*7.5345</f>
        <v>113017.5</v>
      </c>
      <c r="N120" s="409">
        <f t="shared" si="85"/>
        <v>100</v>
      </c>
      <c r="O120" s="427">
        <f t="shared" si="86"/>
        <v>100</v>
      </c>
    </row>
    <row r="121" spans="1:15" s="230" customFormat="1" ht="18" thickBot="1" x14ac:dyDescent="0.3">
      <c r="A121" s="950" t="s">
        <v>626</v>
      </c>
      <c r="B121" s="951"/>
      <c r="C121" s="951"/>
      <c r="D121" s="952"/>
      <c r="E121" s="593"/>
      <c r="F121" s="593">
        <f t="shared" ref="F121:I121" si="87">F124</f>
        <v>60000</v>
      </c>
      <c r="G121" s="593">
        <f t="shared" si="87"/>
        <v>7963.3685048775624</v>
      </c>
      <c r="H121" s="593">
        <f t="shared" si="87"/>
        <v>8000</v>
      </c>
      <c r="I121" s="598">
        <f t="shared" si="87"/>
        <v>60276</v>
      </c>
      <c r="J121" s="593">
        <f t="shared" ref="J121:L121" si="88">J124</f>
        <v>8000</v>
      </c>
      <c r="K121" s="598">
        <f t="shared" ref="K121:M121" si="89">K124</f>
        <v>60276</v>
      </c>
      <c r="L121" s="593">
        <f t="shared" si="88"/>
        <v>8000</v>
      </c>
      <c r="M121" s="598">
        <f t="shared" si="89"/>
        <v>60276</v>
      </c>
      <c r="N121" s="600">
        <f>AVERAGE(J121/H121*100)</f>
        <v>100</v>
      </c>
      <c r="O121" s="601">
        <f>AVERAGE(L121/J121*100)</f>
        <v>100</v>
      </c>
    </row>
    <row r="122" spans="1:15" ht="13.8" x14ac:dyDescent="0.25">
      <c r="A122" s="426"/>
      <c r="B122" s="42"/>
      <c r="C122" s="42"/>
      <c r="D122" s="420" t="s">
        <v>203</v>
      </c>
      <c r="E122" s="397">
        <v>25000</v>
      </c>
      <c r="F122" s="396"/>
      <c r="G122" s="396"/>
      <c r="H122" s="396"/>
      <c r="I122" s="577"/>
      <c r="J122" s="396"/>
      <c r="K122" s="577"/>
      <c r="L122" s="396"/>
      <c r="M122" s="577"/>
      <c r="N122" s="408"/>
      <c r="O122" s="435"/>
    </row>
    <row r="123" spans="1:15" s="117" customFormat="1" ht="15.6" x14ac:dyDescent="0.3">
      <c r="A123" s="426"/>
      <c r="B123" s="42"/>
      <c r="C123" s="42"/>
      <c r="D123" s="420" t="s">
        <v>670</v>
      </c>
      <c r="E123" s="387"/>
      <c r="F123" s="396"/>
      <c r="G123" s="396"/>
      <c r="H123" s="396"/>
      <c r="I123" s="577"/>
      <c r="J123" s="396"/>
      <c r="K123" s="577"/>
      <c r="L123" s="396"/>
      <c r="M123" s="577"/>
      <c r="N123" s="408"/>
      <c r="O123" s="435"/>
    </row>
    <row r="124" spans="1:15" s="29" customFormat="1" ht="15.6" x14ac:dyDescent="0.3">
      <c r="A124" s="458"/>
      <c r="B124" s="117"/>
      <c r="C124" s="117"/>
      <c r="D124" s="464" t="s">
        <v>422</v>
      </c>
      <c r="E124" s="459">
        <v>25000</v>
      </c>
      <c r="F124" s="457">
        <f t="shared" ref="F124:M126" si="90">SUM(F125)</f>
        <v>60000</v>
      </c>
      <c r="G124" s="457">
        <f t="shared" si="90"/>
        <v>7963.3685048775624</v>
      </c>
      <c r="H124" s="457">
        <f t="shared" si="90"/>
        <v>8000</v>
      </c>
      <c r="I124" s="457">
        <f t="shared" si="90"/>
        <v>60276</v>
      </c>
      <c r="J124" s="457">
        <f t="shared" si="90"/>
        <v>8000</v>
      </c>
      <c r="K124" s="457">
        <f t="shared" si="90"/>
        <v>60276</v>
      </c>
      <c r="L124" s="457">
        <f t="shared" si="90"/>
        <v>8000</v>
      </c>
      <c r="M124" s="578">
        <f t="shared" si="90"/>
        <v>60276</v>
      </c>
      <c r="N124" s="409">
        <f t="shared" ref="N124:N127" si="91">AVERAGE(J124/H124*100)</f>
        <v>100</v>
      </c>
      <c r="O124" s="427">
        <f t="shared" ref="O124:O127" si="92">AVERAGE(L124/J124*100)</f>
        <v>100</v>
      </c>
    </row>
    <row r="125" spans="1:15" ht="13.8" x14ac:dyDescent="0.25">
      <c r="A125" s="382" t="s">
        <v>447</v>
      </c>
      <c r="B125" s="388"/>
      <c r="C125" s="401">
        <v>32</v>
      </c>
      <c r="D125" s="388" t="s">
        <v>180</v>
      </c>
      <c r="E125" s="386">
        <v>25000</v>
      </c>
      <c r="F125" s="386">
        <f t="shared" si="90"/>
        <v>60000</v>
      </c>
      <c r="G125" s="386">
        <f t="shared" si="90"/>
        <v>7963.3685048775624</v>
      </c>
      <c r="H125" s="386">
        <f t="shared" si="90"/>
        <v>8000</v>
      </c>
      <c r="I125" s="386">
        <f t="shared" si="90"/>
        <v>60276</v>
      </c>
      <c r="J125" s="386">
        <f t="shared" si="90"/>
        <v>8000</v>
      </c>
      <c r="K125" s="386">
        <f t="shared" si="90"/>
        <v>60276</v>
      </c>
      <c r="L125" s="386">
        <f t="shared" si="90"/>
        <v>8000</v>
      </c>
      <c r="M125" s="581">
        <f t="shared" si="90"/>
        <v>60276</v>
      </c>
      <c r="N125" s="409">
        <f t="shared" si="91"/>
        <v>100</v>
      </c>
      <c r="O125" s="427">
        <f t="shared" si="92"/>
        <v>100</v>
      </c>
    </row>
    <row r="126" spans="1:15" ht="14.4" thickBot="1" x14ac:dyDescent="0.3">
      <c r="A126" s="379" t="s">
        <v>447</v>
      </c>
      <c r="B126" s="390"/>
      <c r="C126" s="399">
        <v>323</v>
      </c>
      <c r="D126" s="390" t="s">
        <v>56</v>
      </c>
      <c r="E126" s="387">
        <v>25000</v>
      </c>
      <c r="F126" s="387">
        <f t="shared" si="90"/>
        <v>60000</v>
      </c>
      <c r="G126" s="387">
        <f t="shared" si="90"/>
        <v>7963.3685048775624</v>
      </c>
      <c r="H126" s="387">
        <f t="shared" si="90"/>
        <v>8000</v>
      </c>
      <c r="I126" s="387">
        <f t="shared" si="90"/>
        <v>60276</v>
      </c>
      <c r="J126" s="387">
        <f t="shared" si="90"/>
        <v>8000</v>
      </c>
      <c r="K126" s="387">
        <f t="shared" si="90"/>
        <v>60276</v>
      </c>
      <c r="L126" s="387">
        <f t="shared" si="90"/>
        <v>8000</v>
      </c>
      <c r="M126" s="580">
        <f t="shared" si="90"/>
        <v>60276</v>
      </c>
      <c r="N126" s="409">
        <f t="shared" si="91"/>
        <v>100</v>
      </c>
      <c r="O126" s="427">
        <f t="shared" si="92"/>
        <v>100</v>
      </c>
    </row>
    <row r="127" spans="1:15" s="482" customFormat="1" ht="14.4" hidden="1" thickBot="1" x14ac:dyDescent="0.3">
      <c r="A127" s="379" t="s">
        <v>447</v>
      </c>
      <c r="B127" s="495"/>
      <c r="C127" s="423">
        <v>3237</v>
      </c>
      <c r="D127" s="398" t="s">
        <v>62</v>
      </c>
      <c r="E127" s="385">
        <v>25000</v>
      </c>
      <c r="F127" s="385">
        <v>60000</v>
      </c>
      <c r="G127" s="387">
        <f>F127/7.5345</f>
        <v>7963.3685048775624</v>
      </c>
      <c r="H127" s="387">
        <v>8000</v>
      </c>
      <c r="I127" s="580">
        <f>H127*7.5345</f>
        <v>60276</v>
      </c>
      <c r="J127" s="387">
        <v>8000</v>
      </c>
      <c r="K127" s="580">
        <f>J127*7.5345</f>
        <v>60276</v>
      </c>
      <c r="L127" s="387">
        <v>8000</v>
      </c>
      <c r="M127" s="580">
        <f>L127*7.5345</f>
        <v>60276</v>
      </c>
      <c r="N127" s="409">
        <f t="shared" si="91"/>
        <v>100</v>
      </c>
      <c r="O127" s="427">
        <f t="shared" si="92"/>
        <v>100</v>
      </c>
    </row>
    <row r="128" spans="1:15" s="230" customFormat="1" ht="18" thickBot="1" x14ac:dyDescent="0.3">
      <c r="A128" s="950" t="s">
        <v>627</v>
      </c>
      <c r="B128" s="951"/>
      <c r="C128" s="951"/>
      <c r="D128" s="952"/>
      <c r="E128" s="593">
        <v>60000</v>
      </c>
      <c r="F128" s="593">
        <f t="shared" ref="F128:I128" si="93">SUM(F131)</f>
        <v>25000</v>
      </c>
      <c r="G128" s="593">
        <f t="shared" si="93"/>
        <v>3318.0702103656513</v>
      </c>
      <c r="H128" s="593">
        <f t="shared" si="93"/>
        <v>4500</v>
      </c>
      <c r="I128" s="598">
        <f t="shared" si="93"/>
        <v>33905.25</v>
      </c>
      <c r="J128" s="593">
        <f t="shared" ref="J128:L128" si="94">SUM(J131)</f>
        <v>6000</v>
      </c>
      <c r="K128" s="598">
        <f t="shared" ref="K128:M128" si="95">SUM(K131)</f>
        <v>45207</v>
      </c>
      <c r="L128" s="593">
        <f t="shared" si="94"/>
        <v>6000</v>
      </c>
      <c r="M128" s="598">
        <f t="shared" si="95"/>
        <v>45207</v>
      </c>
      <c r="N128" s="600">
        <f>AVERAGE(J128/H128*100)</f>
        <v>133.33333333333331</v>
      </c>
      <c r="O128" s="601">
        <f>AVERAGE(L128/J128*100)</f>
        <v>100</v>
      </c>
    </row>
    <row r="129" spans="1:15" ht="13.8" x14ac:dyDescent="0.25">
      <c r="A129" s="426"/>
      <c r="B129" s="42"/>
      <c r="C129" s="42"/>
      <c r="D129" s="420" t="s">
        <v>203</v>
      </c>
      <c r="E129" s="397"/>
      <c r="F129" s="396"/>
      <c r="G129" s="396"/>
      <c r="H129" s="396"/>
      <c r="I129" s="577"/>
      <c r="J129" s="396"/>
      <c r="K129" s="577"/>
      <c r="L129" s="396"/>
      <c r="M129" s="577"/>
      <c r="N129" s="942">
        <f>AVERAGE(J131/H131*100)</f>
        <v>133.33333333333331</v>
      </c>
      <c r="O129" s="944">
        <f>AVERAGE(L131/J131*100)</f>
        <v>100</v>
      </c>
    </row>
    <row r="130" spans="1:15" s="117" customFormat="1" ht="15.6" x14ac:dyDescent="0.3">
      <c r="A130" s="426"/>
      <c r="B130" s="42"/>
      <c r="C130" s="42"/>
      <c r="D130" s="420" t="s">
        <v>670</v>
      </c>
      <c r="E130" s="387"/>
      <c r="F130" s="396"/>
      <c r="G130" s="396"/>
      <c r="H130" s="396"/>
      <c r="I130" s="577"/>
      <c r="J130" s="396"/>
      <c r="K130" s="577"/>
      <c r="L130" s="396"/>
      <c r="M130" s="577"/>
      <c r="N130" s="943"/>
      <c r="O130" s="945"/>
    </row>
    <row r="131" spans="1:15" s="29" customFormat="1" ht="15.6" x14ac:dyDescent="0.3">
      <c r="A131" s="458"/>
      <c r="B131" s="117"/>
      <c r="C131" s="117"/>
      <c r="D131" s="455" t="s">
        <v>423</v>
      </c>
      <c r="E131" s="459">
        <v>60000</v>
      </c>
      <c r="F131" s="457">
        <f t="shared" ref="F131:M132" si="96">SUM(F132)</f>
        <v>25000</v>
      </c>
      <c r="G131" s="457">
        <f t="shared" si="96"/>
        <v>3318.0702103656513</v>
      </c>
      <c r="H131" s="457">
        <f t="shared" si="96"/>
        <v>4500</v>
      </c>
      <c r="I131" s="457">
        <f t="shared" si="96"/>
        <v>33905.25</v>
      </c>
      <c r="J131" s="457">
        <f t="shared" si="96"/>
        <v>6000</v>
      </c>
      <c r="K131" s="457">
        <f t="shared" si="96"/>
        <v>45207</v>
      </c>
      <c r="L131" s="457">
        <f t="shared" si="96"/>
        <v>6000</v>
      </c>
      <c r="M131" s="578">
        <f t="shared" si="96"/>
        <v>45207</v>
      </c>
      <c r="N131" s="943"/>
      <c r="O131" s="945"/>
    </row>
    <row r="132" spans="1:15" ht="13.8" x14ac:dyDescent="0.25">
      <c r="A132" s="382" t="s">
        <v>448</v>
      </c>
      <c r="B132" s="489"/>
      <c r="C132" s="401">
        <v>38</v>
      </c>
      <c r="D132" s="388" t="s">
        <v>198</v>
      </c>
      <c r="E132" s="386">
        <v>60000</v>
      </c>
      <c r="F132" s="386">
        <f t="shared" si="96"/>
        <v>25000</v>
      </c>
      <c r="G132" s="386">
        <f t="shared" si="96"/>
        <v>3318.0702103656513</v>
      </c>
      <c r="H132" s="386">
        <f t="shared" si="96"/>
        <v>4500</v>
      </c>
      <c r="I132" s="386">
        <f t="shared" si="96"/>
        <v>33905.25</v>
      </c>
      <c r="J132" s="386">
        <f t="shared" si="96"/>
        <v>6000</v>
      </c>
      <c r="K132" s="386">
        <f t="shared" si="96"/>
        <v>45207</v>
      </c>
      <c r="L132" s="386">
        <f t="shared" si="96"/>
        <v>6000</v>
      </c>
      <c r="M132" s="581">
        <f t="shared" si="96"/>
        <v>45207</v>
      </c>
      <c r="N132" s="409">
        <f t="shared" ref="N132:N135" si="97">AVERAGE(J132/H132*100)</f>
        <v>133.33333333333331</v>
      </c>
      <c r="O132" s="427">
        <f>AVERAGE(L132/J132*100)</f>
        <v>100</v>
      </c>
    </row>
    <row r="133" spans="1:15" ht="14.4" thickBot="1" x14ac:dyDescent="0.3">
      <c r="A133" s="379" t="s">
        <v>448</v>
      </c>
      <c r="B133" s="488"/>
      <c r="C133" s="399">
        <v>381</v>
      </c>
      <c r="D133" s="390" t="s">
        <v>37</v>
      </c>
      <c r="E133" s="387">
        <v>60000</v>
      </c>
      <c r="F133" s="387">
        <f t="shared" ref="F133:L133" si="98">SUM(F134:F135)</f>
        <v>25000</v>
      </c>
      <c r="G133" s="387">
        <f t="shared" si="98"/>
        <v>3318.0702103656513</v>
      </c>
      <c r="H133" s="387">
        <f t="shared" si="98"/>
        <v>4500</v>
      </c>
      <c r="I133" s="387">
        <f t="shared" si="98"/>
        <v>33905.25</v>
      </c>
      <c r="J133" s="387">
        <f t="shared" si="98"/>
        <v>6000</v>
      </c>
      <c r="K133" s="387">
        <f t="shared" si="98"/>
        <v>45207</v>
      </c>
      <c r="L133" s="387">
        <f t="shared" si="98"/>
        <v>6000</v>
      </c>
      <c r="M133" s="580">
        <f t="shared" ref="M133" si="99">SUM(M134:M135)</f>
        <v>45207</v>
      </c>
      <c r="N133" s="409">
        <f t="shared" si="97"/>
        <v>133.33333333333331</v>
      </c>
      <c r="O133" s="427">
        <f t="shared" ref="O133:O135" si="100">AVERAGE(L133/J133*100)</f>
        <v>100</v>
      </c>
    </row>
    <row r="134" spans="1:15" ht="13.8" hidden="1" x14ac:dyDescent="0.25">
      <c r="A134" s="379" t="s">
        <v>448</v>
      </c>
      <c r="B134" s="488"/>
      <c r="C134" s="399">
        <v>3811</v>
      </c>
      <c r="D134" s="390" t="s">
        <v>402</v>
      </c>
      <c r="E134" s="387">
        <v>10000</v>
      </c>
      <c r="F134" s="387">
        <v>0</v>
      </c>
      <c r="G134" s="387">
        <f>F134/7.5345</f>
        <v>0</v>
      </c>
      <c r="H134" s="387">
        <v>1000</v>
      </c>
      <c r="I134" s="580">
        <f>H134*7.5345</f>
        <v>7534.5</v>
      </c>
      <c r="J134" s="387">
        <f>I134/7.5345</f>
        <v>1000</v>
      </c>
      <c r="K134" s="580">
        <f>J134*7.5345</f>
        <v>7534.5</v>
      </c>
      <c r="L134" s="387">
        <f>K134/7.5345</f>
        <v>1000</v>
      </c>
      <c r="M134" s="580">
        <f>L134*7.5345</f>
        <v>7534.5</v>
      </c>
      <c r="N134" s="409">
        <v>0</v>
      </c>
      <c r="O134" s="427">
        <v>0</v>
      </c>
    </row>
    <row r="135" spans="1:15" s="482" customFormat="1" ht="14.4" hidden="1" thickBot="1" x14ac:dyDescent="0.3">
      <c r="A135" s="379" t="s">
        <v>448</v>
      </c>
      <c r="B135" s="495"/>
      <c r="C135" s="423">
        <v>3812</v>
      </c>
      <c r="D135" s="398" t="s">
        <v>206</v>
      </c>
      <c r="E135" s="385">
        <v>50000</v>
      </c>
      <c r="F135" s="385">
        <v>25000</v>
      </c>
      <c r="G135" s="387">
        <f>F135/7.5345</f>
        <v>3318.0702103656513</v>
      </c>
      <c r="H135" s="728">
        <v>3500</v>
      </c>
      <c r="I135" s="735">
        <f>H135*7.5345</f>
        <v>26370.75</v>
      </c>
      <c r="J135" s="728">
        <v>5000</v>
      </c>
      <c r="K135" s="735">
        <f>J135*7.5345</f>
        <v>37672.5</v>
      </c>
      <c r="L135" s="728">
        <v>5000</v>
      </c>
      <c r="M135" s="580">
        <f>L135*7.5345</f>
        <v>37672.5</v>
      </c>
      <c r="N135" s="409">
        <f t="shared" si="97"/>
        <v>142.85714285714286</v>
      </c>
      <c r="O135" s="427">
        <f t="shared" si="100"/>
        <v>100</v>
      </c>
    </row>
    <row r="136" spans="1:15" s="132" customFormat="1" ht="18" thickBot="1" x14ac:dyDescent="0.3">
      <c r="A136" s="939" t="s">
        <v>628</v>
      </c>
      <c r="B136" s="940"/>
      <c r="C136" s="940"/>
      <c r="D136" s="941"/>
      <c r="E136" s="593">
        <v>5000</v>
      </c>
      <c r="F136" s="593">
        <f t="shared" ref="F136:I136" si="101">SUM(F139)</f>
        <v>5000</v>
      </c>
      <c r="G136" s="593">
        <f t="shared" si="101"/>
        <v>663.61404207313024</v>
      </c>
      <c r="H136" s="593">
        <f t="shared" si="101"/>
        <v>1000</v>
      </c>
      <c r="I136" s="598">
        <f t="shared" si="101"/>
        <v>7534.5</v>
      </c>
      <c r="J136" s="593">
        <f t="shared" ref="J136:L136" si="102">SUM(J139)</f>
        <v>1000</v>
      </c>
      <c r="K136" s="598">
        <f t="shared" ref="K136:M136" si="103">SUM(K139)</f>
        <v>7534.5</v>
      </c>
      <c r="L136" s="593">
        <f t="shared" si="102"/>
        <v>1000</v>
      </c>
      <c r="M136" s="598">
        <f t="shared" si="103"/>
        <v>7534.5</v>
      </c>
      <c r="N136" s="600">
        <f>AVERAGE(J136/H136*100)</f>
        <v>100</v>
      </c>
      <c r="O136" s="601">
        <f>AVERAGE(L136/J136*100)</f>
        <v>100</v>
      </c>
    </row>
    <row r="137" spans="1:15" ht="13.8" x14ac:dyDescent="0.25">
      <c r="A137" s="426"/>
      <c r="B137" s="42"/>
      <c r="C137" s="42"/>
      <c r="D137" s="420" t="s">
        <v>203</v>
      </c>
      <c r="E137" s="397"/>
      <c r="F137" s="396"/>
      <c r="G137" s="396"/>
      <c r="H137" s="396"/>
      <c r="I137" s="577"/>
      <c r="J137" s="396"/>
      <c r="K137" s="577"/>
      <c r="L137" s="396"/>
      <c r="M137" s="577"/>
      <c r="N137" s="942">
        <f>AVERAGE(J139/H139*100)</f>
        <v>100</v>
      </c>
      <c r="O137" s="944">
        <f>AVERAGE(L139/J139*100)</f>
        <v>100</v>
      </c>
    </row>
    <row r="138" spans="1:15" s="117" customFormat="1" ht="15.6" x14ac:dyDescent="0.3">
      <c r="A138" s="426"/>
      <c r="B138" s="42"/>
      <c r="C138" s="42"/>
      <c r="D138" s="420" t="s">
        <v>670</v>
      </c>
      <c r="E138" s="387"/>
      <c r="F138" s="396"/>
      <c r="G138" s="396"/>
      <c r="H138" s="396"/>
      <c r="I138" s="577"/>
      <c r="J138" s="396"/>
      <c r="K138" s="577"/>
      <c r="L138" s="396"/>
      <c r="M138" s="577"/>
      <c r="N138" s="943"/>
      <c r="O138" s="945"/>
    </row>
    <row r="139" spans="1:15" s="29" customFormat="1" ht="15.6" x14ac:dyDescent="0.3">
      <c r="A139" s="458"/>
      <c r="B139" s="117"/>
      <c r="C139" s="117"/>
      <c r="D139" s="455" t="s">
        <v>424</v>
      </c>
      <c r="E139" s="459">
        <v>5000</v>
      </c>
      <c r="F139" s="457">
        <f t="shared" ref="F139:M141" si="104">SUM(F140)</f>
        <v>5000</v>
      </c>
      <c r="G139" s="457">
        <f t="shared" si="104"/>
        <v>663.61404207313024</v>
      </c>
      <c r="H139" s="457">
        <f t="shared" si="104"/>
        <v>1000</v>
      </c>
      <c r="I139" s="457">
        <f t="shared" si="104"/>
        <v>7534.5</v>
      </c>
      <c r="J139" s="457">
        <f t="shared" si="104"/>
        <v>1000</v>
      </c>
      <c r="K139" s="457">
        <f t="shared" si="104"/>
        <v>7534.5</v>
      </c>
      <c r="L139" s="457">
        <f t="shared" si="104"/>
        <v>1000</v>
      </c>
      <c r="M139" s="578">
        <f t="shared" si="104"/>
        <v>7534.5</v>
      </c>
      <c r="N139" s="943"/>
      <c r="O139" s="945"/>
    </row>
    <row r="140" spans="1:15" ht="13.8" x14ac:dyDescent="0.25">
      <c r="A140" s="382" t="s">
        <v>449</v>
      </c>
      <c r="B140" s="388"/>
      <c r="C140" s="401">
        <v>38</v>
      </c>
      <c r="D140" s="388" t="s">
        <v>198</v>
      </c>
      <c r="E140" s="386">
        <v>5000</v>
      </c>
      <c r="F140" s="386">
        <f t="shared" si="104"/>
        <v>5000</v>
      </c>
      <c r="G140" s="386">
        <f t="shared" si="104"/>
        <v>663.61404207313024</v>
      </c>
      <c r="H140" s="386">
        <f t="shared" si="104"/>
        <v>1000</v>
      </c>
      <c r="I140" s="386">
        <f t="shared" si="104"/>
        <v>7534.5</v>
      </c>
      <c r="J140" s="386">
        <f t="shared" si="104"/>
        <v>1000</v>
      </c>
      <c r="K140" s="386">
        <f t="shared" si="104"/>
        <v>7534.5</v>
      </c>
      <c r="L140" s="386">
        <f t="shared" si="104"/>
        <v>1000</v>
      </c>
      <c r="M140" s="581">
        <f t="shared" si="104"/>
        <v>7534.5</v>
      </c>
      <c r="N140" s="409">
        <f t="shared" ref="N140:N142" si="105">AVERAGE(J140/H140*100)</f>
        <v>100</v>
      </c>
      <c r="O140" s="427">
        <f>AVERAGE(L140/J140*100)</f>
        <v>100</v>
      </c>
    </row>
    <row r="141" spans="1:15" ht="14.4" thickBot="1" x14ac:dyDescent="0.3">
      <c r="A141" s="379" t="s">
        <v>449</v>
      </c>
      <c r="B141" s="390"/>
      <c r="C141" s="399">
        <v>381</v>
      </c>
      <c r="D141" s="390" t="s">
        <v>37</v>
      </c>
      <c r="E141" s="387">
        <v>5000</v>
      </c>
      <c r="F141" s="387">
        <f t="shared" si="104"/>
        <v>5000</v>
      </c>
      <c r="G141" s="387">
        <f t="shared" si="104"/>
        <v>663.61404207313024</v>
      </c>
      <c r="H141" s="387">
        <f t="shared" si="104"/>
        <v>1000</v>
      </c>
      <c r="I141" s="387">
        <f t="shared" si="104"/>
        <v>7534.5</v>
      </c>
      <c r="J141" s="387">
        <f t="shared" si="104"/>
        <v>1000</v>
      </c>
      <c r="K141" s="387">
        <f t="shared" si="104"/>
        <v>7534.5</v>
      </c>
      <c r="L141" s="387">
        <f t="shared" si="104"/>
        <v>1000</v>
      </c>
      <c r="M141" s="580">
        <f t="shared" si="104"/>
        <v>7534.5</v>
      </c>
      <c r="N141" s="409">
        <f t="shared" si="105"/>
        <v>100</v>
      </c>
      <c r="O141" s="427">
        <f t="shared" ref="O141:O142" si="106">AVERAGE(L141/J141*100)</f>
        <v>100</v>
      </c>
    </row>
    <row r="142" spans="1:15" s="482" customFormat="1" ht="14.4" hidden="1" thickBot="1" x14ac:dyDescent="0.3">
      <c r="A142" s="379" t="s">
        <v>449</v>
      </c>
      <c r="B142" s="495"/>
      <c r="C142" s="423">
        <v>3811</v>
      </c>
      <c r="D142" s="398" t="s">
        <v>403</v>
      </c>
      <c r="E142" s="385">
        <v>5000</v>
      </c>
      <c r="F142" s="385">
        <v>5000</v>
      </c>
      <c r="G142" s="387">
        <f>F142/7.5345</f>
        <v>663.61404207313024</v>
      </c>
      <c r="H142" s="387">
        <v>1000</v>
      </c>
      <c r="I142" s="580">
        <f>H142*7.5345</f>
        <v>7534.5</v>
      </c>
      <c r="J142" s="387">
        <v>1000</v>
      </c>
      <c r="K142" s="580">
        <f>J142*7.5345</f>
        <v>7534.5</v>
      </c>
      <c r="L142" s="387">
        <v>1000</v>
      </c>
      <c r="M142" s="580">
        <f>L142*7.5345</f>
        <v>7534.5</v>
      </c>
      <c r="N142" s="409">
        <f t="shared" si="105"/>
        <v>100</v>
      </c>
      <c r="O142" s="427">
        <f t="shared" si="106"/>
        <v>100</v>
      </c>
    </row>
    <row r="143" spans="1:15" s="230" customFormat="1" ht="18" thickBot="1" x14ac:dyDescent="0.3">
      <c r="A143" s="939" t="s">
        <v>629</v>
      </c>
      <c r="B143" s="940"/>
      <c r="C143" s="940"/>
      <c r="D143" s="941"/>
      <c r="E143" s="593">
        <v>5000</v>
      </c>
      <c r="F143" s="593">
        <f t="shared" ref="F143:I143" si="107">SUM(F146)</f>
        <v>5000</v>
      </c>
      <c r="G143" s="593">
        <f t="shared" si="107"/>
        <v>663.61404207313024</v>
      </c>
      <c r="H143" s="593">
        <f t="shared" si="107"/>
        <v>1500</v>
      </c>
      <c r="I143" s="598">
        <f t="shared" si="107"/>
        <v>11301.75</v>
      </c>
      <c r="J143" s="593">
        <f t="shared" ref="J143:M143" si="108">SUM(J146)</f>
        <v>2000</v>
      </c>
      <c r="K143" s="598">
        <f t="shared" si="108"/>
        <v>15069</v>
      </c>
      <c r="L143" s="593">
        <f t="shared" si="108"/>
        <v>2000</v>
      </c>
      <c r="M143" s="598">
        <f t="shared" si="108"/>
        <v>15069</v>
      </c>
      <c r="N143" s="600">
        <f>AVERAGE(J143/H143*100)</f>
        <v>133.33333333333331</v>
      </c>
      <c r="O143" s="601">
        <f>AVERAGE(L143/J143*100)</f>
        <v>100</v>
      </c>
    </row>
    <row r="144" spans="1:15" ht="27.6" x14ac:dyDescent="0.25">
      <c r="A144" s="426"/>
      <c r="B144" s="42"/>
      <c r="C144" s="42"/>
      <c r="D144" s="421" t="s">
        <v>406</v>
      </c>
      <c r="E144" s="397"/>
      <c r="F144" s="396"/>
      <c r="G144" s="396"/>
      <c r="H144" s="396"/>
      <c r="I144" s="577"/>
      <c r="J144" s="396"/>
      <c r="K144" s="577"/>
      <c r="L144" s="396"/>
      <c r="M144" s="577"/>
      <c r="N144" s="942">
        <f>AVERAGE(J146/H146*100)</f>
        <v>133.33333333333331</v>
      </c>
      <c r="O144" s="944">
        <f>AVERAGE(L146/J146*100)</f>
        <v>100</v>
      </c>
    </row>
    <row r="145" spans="1:15" s="117" customFormat="1" ht="15.6" x14ac:dyDescent="0.3">
      <c r="A145" s="426"/>
      <c r="B145" s="42"/>
      <c r="C145" s="42"/>
      <c r="D145" s="420" t="s">
        <v>670</v>
      </c>
      <c r="E145" s="387"/>
      <c r="F145" s="396"/>
      <c r="G145" s="396"/>
      <c r="H145" s="396"/>
      <c r="I145" s="577"/>
      <c r="J145" s="396"/>
      <c r="K145" s="577"/>
      <c r="L145" s="396"/>
      <c r="M145" s="577"/>
      <c r="N145" s="943"/>
      <c r="O145" s="945"/>
    </row>
    <row r="146" spans="1:15" s="117" customFormat="1" ht="15.6" x14ac:dyDescent="0.3">
      <c r="A146" s="458"/>
      <c r="D146" s="455" t="s">
        <v>618</v>
      </c>
      <c r="E146" s="459">
        <v>5000</v>
      </c>
      <c r="F146" s="457">
        <f t="shared" ref="F146:M148" si="109">SUM(F147)</f>
        <v>5000</v>
      </c>
      <c r="G146" s="457">
        <f t="shared" si="109"/>
        <v>663.61404207313024</v>
      </c>
      <c r="H146" s="457">
        <f t="shared" si="109"/>
        <v>1500</v>
      </c>
      <c r="I146" s="457">
        <f t="shared" si="109"/>
        <v>11301.75</v>
      </c>
      <c r="J146" s="457">
        <f t="shared" si="109"/>
        <v>2000</v>
      </c>
      <c r="K146" s="457">
        <f t="shared" si="109"/>
        <v>15069</v>
      </c>
      <c r="L146" s="457">
        <f t="shared" si="109"/>
        <v>2000</v>
      </c>
      <c r="M146" s="578">
        <f t="shared" si="109"/>
        <v>15069</v>
      </c>
      <c r="N146" s="943"/>
      <c r="O146" s="945"/>
    </row>
    <row r="147" spans="1:15" s="29" customFormat="1" ht="13.8" x14ac:dyDescent="0.25">
      <c r="A147" s="382" t="s">
        <v>449</v>
      </c>
      <c r="B147" s="388"/>
      <c r="C147" s="401">
        <v>38</v>
      </c>
      <c r="D147" s="388" t="s">
        <v>198</v>
      </c>
      <c r="E147" s="386">
        <v>5000</v>
      </c>
      <c r="F147" s="386">
        <f t="shared" si="109"/>
        <v>5000</v>
      </c>
      <c r="G147" s="386">
        <f t="shared" si="109"/>
        <v>663.61404207313024</v>
      </c>
      <c r="H147" s="386">
        <f t="shared" si="109"/>
        <v>1500</v>
      </c>
      <c r="I147" s="386">
        <f t="shared" si="109"/>
        <v>11301.75</v>
      </c>
      <c r="J147" s="386">
        <f t="shared" si="109"/>
        <v>2000</v>
      </c>
      <c r="K147" s="386">
        <f t="shared" si="109"/>
        <v>15069</v>
      </c>
      <c r="L147" s="386">
        <f t="shared" si="109"/>
        <v>2000</v>
      </c>
      <c r="M147" s="581">
        <f t="shared" si="109"/>
        <v>15069</v>
      </c>
      <c r="N147" s="409">
        <f t="shared" ref="N147:N149" si="110">AVERAGE(J147/H147*100)</f>
        <v>133.33333333333331</v>
      </c>
      <c r="O147" s="427">
        <f>AVERAGE(L147/J147*100)</f>
        <v>100</v>
      </c>
    </row>
    <row r="148" spans="1:15" ht="14.4" thickBot="1" x14ac:dyDescent="0.3">
      <c r="A148" s="379" t="s">
        <v>449</v>
      </c>
      <c r="B148" s="390"/>
      <c r="C148" s="399">
        <v>381</v>
      </c>
      <c r="D148" s="390" t="s">
        <v>37</v>
      </c>
      <c r="E148" s="387">
        <v>5000</v>
      </c>
      <c r="F148" s="387">
        <f t="shared" si="109"/>
        <v>5000</v>
      </c>
      <c r="G148" s="387">
        <f t="shared" si="109"/>
        <v>663.61404207313024</v>
      </c>
      <c r="H148" s="387">
        <f t="shared" si="109"/>
        <v>1500</v>
      </c>
      <c r="I148" s="387">
        <f t="shared" si="109"/>
        <v>11301.75</v>
      </c>
      <c r="J148" s="387">
        <f t="shared" si="109"/>
        <v>2000</v>
      </c>
      <c r="K148" s="387">
        <f t="shared" si="109"/>
        <v>15069</v>
      </c>
      <c r="L148" s="387">
        <f t="shared" si="109"/>
        <v>2000</v>
      </c>
      <c r="M148" s="580">
        <f t="shared" si="109"/>
        <v>15069</v>
      </c>
      <c r="N148" s="409">
        <f t="shared" si="110"/>
        <v>133.33333333333331</v>
      </c>
      <c r="O148" s="427">
        <f t="shared" ref="O148:O149" si="111">AVERAGE(L148/J148*100)</f>
        <v>100</v>
      </c>
    </row>
    <row r="149" spans="1:15" ht="14.4" hidden="1" thickBot="1" x14ac:dyDescent="0.3">
      <c r="A149" s="379" t="s">
        <v>449</v>
      </c>
      <c r="B149" s="495"/>
      <c r="C149" s="423">
        <v>3811</v>
      </c>
      <c r="D149" s="398" t="s">
        <v>403</v>
      </c>
      <c r="E149" s="385">
        <v>5000</v>
      </c>
      <c r="F149" s="385">
        <v>5000</v>
      </c>
      <c r="G149" s="387">
        <f>F149/7.5345</f>
        <v>663.61404207313024</v>
      </c>
      <c r="H149" s="387">
        <v>1500</v>
      </c>
      <c r="I149" s="580">
        <f>H149*7.5345</f>
        <v>11301.75</v>
      </c>
      <c r="J149" s="387">
        <v>2000</v>
      </c>
      <c r="K149" s="580">
        <f>J149*7.5345</f>
        <v>15069</v>
      </c>
      <c r="L149" s="387">
        <v>2000</v>
      </c>
      <c r="M149" s="580">
        <f>L149*7.5345</f>
        <v>15069</v>
      </c>
      <c r="N149" s="409">
        <f t="shared" si="110"/>
        <v>133.33333333333331</v>
      </c>
      <c r="O149" s="427">
        <f t="shared" si="111"/>
        <v>100</v>
      </c>
    </row>
    <row r="150" spans="1:15" ht="18" thickBot="1" x14ac:dyDescent="0.3">
      <c r="A150" s="950" t="s">
        <v>630</v>
      </c>
      <c r="B150" s="951"/>
      <c r="C150" s="951"/>
      <c r="D150" s="952"/>
      <c r="E150" s="593">
        <f>SUM(E154+E175+E181)</f>
        <v>335000</v>
      </c>
      <c r="F150" s="593">
        <f>SUM(F154+F175+F181)</f>
        <v>4275000</v>
      </c>
      <c r="G150" s="593">
        <f>SUM(G154+G175+G181)</f>
        <v>567390.00597252615</v>
      </c>
      <c r="H150" s="593">
        <f t="shared" ref="H150:M150" si="112">SUM(H154+H162+H175+H181)</f>
        <v>324500</v>
      </c>
      <c r="I150" s="598">
        <f t="shared" si="112"/>
        <v>2324393.25</v>
      </c>
      <c r="J150" s="593">
        <f t="shared" si="112"/>
        <v>351000</v>
      </c>
      <c r="K150" s="598">
        <f t="shared" si="112"/>
        <v>2508988.5</v>
      </c>
      <c r="L150" s="593">
        <f t="shared" si="112"/>
        <v>503001</v>
      </c>
      <c r="M150" s="598">
        <f t="shared" si="112"/>
        <v>3639171.0345000001</v>
      </c>
      <c r="N150" s="600">
        <f>AVERAGE(J150/H150*100)</f>
        <v>108.16640986132511</v>
      </c>
      <c r="O150" s="601">
        <f>AVERAGE(L150/J150*100)</f>
        <v>143.3051282051282</v>
      </c>
    </row>
    <row r="151" spans="1:15" s="230" customFormat="1" ht="13.8" x14ac:dyDescent="0.25">
      <c r="A151" s="426"/>
      <c r="B151" s="42"/>
      <c r="C151" s="42"/>
      <c r="D151" s="421" t="s">
        <v>208</v>
      </c>
      <c r="E151" s="397"/>
      <c r="F151" s="396"/>
      <c r="G151" s="396"/>
      <c r="H151" s="730"/>
      <c r="I151" s="577"/>
      <c r="J151" s="396"/>
      <c r="K151" s="577"/>
      <c r="L151" s="396"/>
      <c r="M151" s="577"/>
      <c r="N151" s="942">
        <v>106.43939393939394</v>
      </c>
      <c r="O151" s="973">
        <v>100</v>
      </c>
    </row>
    <row r="152" spans="1:15" s="230" customFormat="1" ht="13.8" x14ac:dyDescent="0.25">
      <c r="A152" s="426"/>
      <c r="B152" s="42"/>
      <c r="C152" s="42"/>
      <c r="D152" s="420" t="s">
        <v>674</v>
      </c>
      <c r="E152" s="387"/>
      <c r="F152" s="396"/>
      <c r="G152" s="594"/>
      <c r="H152" s="731"/>
      <c r="I152" s="617"/>
      <c r="J152" s="594"/>
      <c r="K152" s="617"/>
      <c r="L152" s="594"/>
      <c r="M152" s="617"/>
      <c r="N152" s="948"/>
      <c r="O152" s="974"/>
    </row>
    <row r="153" spans="1:15" s="230" customFormat="1" ht="15.6" x14ac:dyDescent="0.3">
      <c r="A153" s="458"/>
      <c r="B153" s="117"/>
      <c r="C153" s="117"/>
      <c r="D153" s="953" t="s">
        <v>425</v>
      </c>
      <c r="E153" s="459"/>
      <c r="F153" s="463"/>
      <c r="G153" s="597"/>
      <c r="H153" s="732"/>
      <c r="I153" s="618"/>
      <c r="J153" s="597"/>
      <c r="K153" s="618"/>
      <c r="L153" s="597"/>
      <c r="M153" s="618"/>
      <c r="N153" s="948"/>
      <c r="O153" s="974"/>
    </row>
    <row r="154" spans="1:15" s="117" customFormat="1" ht="15.6" x14ac:dyDescent="0.3">
      <c r="A154" s="458"/>
      <c r="D154" s="954"/>
      <c r="E154" s="459">
        <v>310000</v>
      </c>
      <c r="F154" s="457">
        <f t="shared" ref="F154:M155" si="113">SUM(F155)</f>
        <v>4180000</v>
      </c>
      <c r="G154" s="595">
        <f t="shared" si="113"/>
        <v>554781.33917313674</v>
      </c>
      <c r="H154" s="733">
        <f>SUM(H155)</f>
        <v>64000</v>
      </c>
      <c r="I154" s="733">
        <f t="shared" ref="I154:L155" si="114">SUM(I155)</f>
        <v>361656</v>
      </c>
      <c r="J154" s="733">
        <f t="shared" si="114"/>
        <v>68000</v>
      </c>
      <c r="K154" s="733">
        <f t="shared" si="114"/>
        <v>376725</v>
      </c>
      <c r="L154" s="733">
        <f t="shared" si="114"/>
        <v>75000</v>
      </c>
      <c r="M154" s="619">
        <f t="shared" si="113"/>
        <v>414397.5</v>
      </c>
      <c r="N154" s="948"/>
      <c r="O154" s="949"/>
    </row>
    <row r="155" spans="1:15" s="29" customFormat="1" ht="13.8" x14ac:dyDescent="0.25">
      <c r="A155" s="382" t="s">
        <v>450</v>
      </c>
      <c r="B155" s="388"/>
      <c r="C155" s="378">
        <v>37</v>
      </c>
      <c r="D155" s="389" t="s">
        <v>77</v>
      </c>
      <c r="E155" s="386">
        <v>310000</v>
      </c>
      <c r="F155" s="386">
        <f t="shared" si="113"/>
        <v>4180000</v>
      </c>
      <c r="G155" s="596">
        <f t="shared" si="113"/>
        <v>554781.33917313674</v>
      </c>
      <c r="H155" s="596">
        <f>SUM(H156)</f>
        <v>64000</v>
      </c>
      <c r="I155" s="596">
        <f t="shared" si="114"/>
        <v>361656</v>
      </c>
      <c r="J155" s="596">
        <f t="shared" si="114"/>
        <v>68000</v>
      </c>
      <c r="K155" s="596">
        <f t="shared" si="114"/>
        <v>376725</v>
      </c>
      <c r="L155" s="596">
        <f t="shared" si="114"/>
        <v>75000</v>
      </c>
      <c r="M155" s="620">
        <f t="shared" si="113"/>
        <v>414397.5</v>
      </c>
      <c r="N155" s="409">
        <f t="shared" ref="N155:N159" si="115">AVERAGE(J155/H155*100)</f>
        <v>106.25</v>
      </c>
      <c r="O155" s="427">
        <f>AVERAGE(L155/J155*100)</f>
        <v>110.29411764705883</v>
      </c>
    </row>
    <row r="156" spans="1:15" ht="13.8" x14ac:dyDescent="0.25">
      <c r="A156" s="379" t="s">
        <v>450</v>
      </c>
      <c r="B156" s="488"/>
      <c r="C156" s="391">
        <v>372</v>
      </c>
      <c r="D156" s="392" t="s">
        <v>77</v>
      </c>
      <c r="E156" s="387">
        <v>310000</v>
      </c>
      <c r="F156" s="387">
        <f>SUM(F157:F172)</f>
        <v>4180000</v>
      </c>
      <c r="G156" s="568">
        <f>SUM(G157:G172)</f>
        <v>554781.33917313674</v>
      </c>
      <c r="H156" s="568">
        <f t="shared" ref="H156:M156" si="116">SUM(H157:H159)</f>
        <v>64000</v>
      </c>
      <c r="I156" s="568">
        <f t="shared" si="116"/>
        <v>361656</v>
      </c>
      <c r="J156" s="568">
        <f t="shared" si="116"/>
        <v>68000</v>
      </c>
      <c r="K156" s="568">
        <f t="shared" si="116"/>
        <v>376725</v>
      </c>
      <c r="L156" s="568">
        <f t="shared" si="116"/>
        <v>75000</v>
      </c>
      <c r="M156" s="689">
        <f t="shared" si="116"/>
        <v>414397.5</v>
      </c>
      <c r="N156" s="409">
        <f t="shared" si="115"/>
        <v>106.25</v>
      </c>
      <c r="O156" s="427">
        <f t="shared" ref="O156:O159" si="117">AVERAGE(L156/J156*100)</f>
        <v>110.29411764705883</v>
      </c>
    </row>
    <row r="157" spans="1:15" ht="13.8" hidden="1" x14ac:dyDescent="0.25">
      <c r="A157" s="379" t="s">
        <v>450</v>
      </c>
      <c r="B157" s="488"/>
      <c r="C157" s="391">
        <v>3721</v>
      </c>
      <c r="D157" s="392" t="s">
        <v>412</v>
      </c>
      <c r="E157" s="387">
        <v>240000</v>
      </c>
      <c r="F157" s="387">
        <v>190000</v>
      </c>
      <c r="G157" s="568">
        <f t="shared" ref="G157:G172" si="118">F157/7.5345</f>
        <v>25217.333598778951</v>
      </c>
      <c r="H157" s="568">
        <v>15000</v>
      </c>
      <c r="I157" s="580">
        <f t="shared" ref="I157:M172" si="119">H157*7.5345</f>
        <v>113017.5</v>
      </c>
      <c r="J157" s="568">
        <v>15000</v>
      </c>
      <c r="K157" s="580">
        <f t="shared" si="119"/>
        <v>113017.5</v>
      </c>
      <c r="L157" s="568">
        <v>15000</v>
      </c>
      <c r="M157" s="580">
        <f t="shared" si="119"/>
        <v>113017.5</v>
      </c>
      <c r="N157" s="409">
        <f t="shared" si="115"/>
        <v>100</v>
      </c>
      <c r="O157" s="427">
        <f t="shared" si="117"/>
        <v>100</v>
      </c>
    </row>
    <row r="158" spans="1:15" ht="27.6" hidden="1" x14ac:dyDescent="0.25">
      <c r="A158" s="566" t="s">
        <v>450</v>
      </c>
      <c r="B158" s="488"/>
      <c r="C158" s="400">
        <v>3721</v>
      </c>
      <c r="D158" s="567" t="s">
        <v>472</v>
      </c>
      <c r="E158" s="568">
        <v>240000</v>
      </c>
      <c r="F158" s="568">
        <v>150000</v>
      </c>
      <c r="G158" s="568">
        <f t="shared" si="118"/>
        <v>19908.421262193908</v>
      </c>
      <c r="H158" s="568">
        <v>33000</v>
      </c>
      <c r="I158" s="689">
        <f t="shared" si="119"/>
        <v>248638.5</v>
      </c>
      <c r="J158" s="568">
        <v>35000</v>
      </c>
      <c r="K158" s="689">
        <f t="shared" si="119"/>
        <v>263707.5</v>
      </c>
      <c r="L158" s="568">
        <v>40000</v>
      </c>
      <c r="M158" s="689">
        <f t="shared" si="119"/>
        <v>301380</v>
      </c>
      <c r="N158" s="409">
        <f t="shared" si="115"/>
        <v>106.06060606060606</v>
      </c>
      <c r="O158" s="427">
        <f t="shared" si="117"/>
        <v>114.28571428571428</v>
      </c>
    </row>
    <row r="159" spans="1:15" s="230" customFormat="1" ht="28.2" hidden="1" thickBot="1" x14ac:dyDescent="0.3">
      <c r="A159" s="572" t="s">
        <v>450</v>
      </c>
      <c r="B159" s="490"/>
      <c r="C159" s="569">
        <v>3722</v>
      </c>
      <c r="D159" s="570" t="s">
        <v>601</v>
      </c>
      <c r="E159" s="571"/>
      <c r="F159" s="571"/>
      <c r="G159" s="571"/>
      <c r="H159" s="571">
        <v>16000</v>
      </c>
      <c r="I159" s="690"/>
      <c r="J159" s="571">
        <v>18000</v>
      </c>
      <c r="K159" s="690"/>
      <c r="L159" s="571">
        <v>20000</v>
      </c>
      <c r="M159" s="690"/>
      <c r="N159" s="414">
        <f t="shared" si="115"/>
        <v>112.5</v>
      </c>
      <c r="O159" s="431">
        <f t="shared" si="117"/>
        <v>111.11111111111111</v>
      </c>
    </row>
    <row r="160" spans="1:15" s="230" customFormat="1" ht="13.8" x14ac:dyDescent="0.25">
      <c r="A160" s="426"/>
      <c r="B160" s="493"/>
      <c r="C160" s="42"/>
      <c r="D160" s="421" t="s">
        <v>208</v>
      </c>
      <c r="E160" s="397"/>
      <c r="F160" s="396"/>
      <c r="G160" s="396"/>
      <c r="H160" s="396"/>
      <c r="I160" s="577"/>
      <c r="J160" s="396"/>
      <c r="K160" s="577"/>
      <c r="L160" s="396"/>
      <c r="M160" s="577"/>
      <c r="N160" s="942">
        <f>AVERAGE(J162/H162*100)</f>
        <v>109.09090909090908</v>
      </c>
      <c r="O160" s="949">
        <f>AVERAGE(L162/J162*100)</f>
        <v>153.70407407407407</v>
      </c>
    </row>
    <row r="161" spans="1:15" s="230" customFormat="1" ht="13.8" x14ac:dyDescent="0.25">
      <c r="A161" s="426"/>
      <c r="B161" s="493"/>
      <c r="C161" s="42"/>
      <c r="D161" s="420" t="s">
        <v>674</v>
      </c>
      <c r="E161" s="387"/>
      <c r="F161" s="396"/>
      <c r="G161" s="396"/>
      <c r="H161" s="396"/>
      <c r="I161" s="577"/>
      <c r="J161" s="396"/>
      <c r="K161" s="577"/>
      <c r="L161" s="396"/>
      <c r="M161" s="577"/>
      <c r="N161" s="943"/>
      <c r="O161" s="945"/>
    </row>
    <row r="162" spans="1:15" s="230" customFormat="1" ht="15.6" x14ac:dyDescent="0.3">
      <c r="A162" s="458"/>
      <c r="B162" s="494"/>
      <c r="C162" s="117"/>
      <c r="D162" s="464" t="s">
        <v>525</v>
      </c>
      <c r="E162" s="459">
        <v>15000</v>
      </c>
      <c r="F162" s="457">
        <f>SUM(F168)</f>
        <v>570000</v>
      </c>
      <c r="G162" s="457">
        <f>SUM(G168)</f>
        <v>75652.000796336841</v>
      </c>
      <c r="H162" s="457">
        <f>SUM(H163)</f>
        <v>247500</v>
      </c>
      <c r="I162" s="457">
        <f t="shared" ref="I162:L162" si="120">SUM(I163)</f>
        <v>1864788.75</v>
      </c>
      <c r="J162" s="457">
        <f t="shared" si="120"/>
        <v>270000</v>
      </c>
      <c r="K162" s="457">
        <f t="shared" si="120"/>
        <v>2034315</v>
      </c>
      <c r="L162" s="457">
        <f t="shared" si="120"/>
        <v>415001</v>
      </c>
      <c r="M162" s="578">
        <f t="shared" ref="M162" si="121">SUM(M163)</f>
        <v>3126825.0345000001</v>
      </c>
      <c r="N162" s="943"/>
      <c r="O162" s="945"/>
    </row>
    <row r="163" spans="1:15" s="230" customFormat="1" ht="13.8" x14ac:dyDescent="0.25">
      <c r="A163" s="382" t="s">
        <v>529</v>
      </c>
      <c r="B163" s="388"/>
      <c r="C163" s="378">
        <v>37</v>
      </c>
      <c r="D163" s="389" t="s">
        <v>77</v>
      </c>
      <c r="E163" s="386">
        <v>310000</v>
      </c>
      <c r="F163" s="386">
        <f t="shared" ref="F163:M163" si="122">SUM(F164)</f>
        <v>1140000</v>
      </c>
      <c r="G163" s="596">
        <f t="shared" si="122"/>
        <v>151304.00159267371</v>
      </c>
      <c r="H163" s="596">
        <f t="shared" si="122"/>
        <v>247500</v>
      </c>
      <c r="I163" s="596">
        <f t="shared" si="122"/>
        <v>1864788.75</v>
      </c>
      <c r="J163" s="596">
        <f t="shared" si="122"/>
        <v>270000</v>
      </c>
      <c r="K163" s="596">
        <f t="shared" si="122"/>
        <v>2034315</v>
      </c>
      <c r="L163" s="596">
        <f t="shared" si="122"/>
        <v>415001</v>
      </c>
      <c r="M163" s="620">
        <f t="shared" si="122"/>
        <v>3126825.0345000001</v>
      </c>
      <c r="N163" s="409">
        <f t="shared" ref="N163:N172" si="123">AVERAGE(J163/H163*100)</f>
        <v>109.09090909090908</v>
      </c>
      <c r="O163" s="427">
        <f>AVERAGE(L163/J163*100)</f>
        <v>153.70407407407407</v>
      </c>
    </row>
    <row r="164" spans="1:15" s="230" customFormat="1" ht="14.4" thickBot="1" x14ac:dyDescent="0.3">
      <c r="A164" s="379" t="s">
        <v>529</v>
      </c>
      <c r="B164" s="488"/>
      <c r="C164" s="391">
        <v>372</v>
      </c>
      <c r="D164" s="392" t="s">
        <v>77</v>
      </c>
      <c r="E164" s="387">
        <v>310000</v>
      </c>
      <c r="F164" s="387">
        <f>SUM(F168:F184)</f>
        <v>1140000</v>
      </c>
      <c r="G164" s="568">
        <f>SUM(G168:G184)</f>
        <v>151304.00159267371</v>
      </c>
      <c r="H164" s="568">
        <f>SUM(H165:H172)</f>
        <v>247500</v>
      </c>
      <c r="I164" s="568">
        <f t="shared" ref="I164:L164" si="124">SUM(I165:I172)</f>
        <v>1864788.75</v>
      </c>
      <c r="J164" s="568">
        <f t="shared" si="124"/>
        <v>270000</v>
      </c>
      <c r="K164" s="568">
        <f t="shared" si="124"/>
        <v>2034315</v>
      </c>
      <c r="L164" s="568">
        <f t="shared" si="124"/>
        <v>415001</v>
      </c>
      <c r="M164" s="689">
        <f t="shared" ref="M164" si="125">SUM(M165:M172)</f>
        <v>3126825.0345000001</v>
      </c>
      <c r="N164" s="409">
        <f t="shared" si="123"/>
        <v>109.09090909090908</v>
      </c>
      <c r="O164" s="427">
        <f t="shared" ref="O164:O172" si="126">AVERAGE(L164/J164*100)</f>
        <v>153.70407407407407</v>
      </c>
    </row>
    <row r="165" spans="1:15" s="684" customFormat="1" ht="14.4" hidden="1" thickBot="1" x14ac:dyDescent="0.3">
      <c r="A165" s="379" t="s">
        <v>529</v>
      </c>
      <c r="B165" s="488"/>
      <c r="C165" s="400">
        <v>3721</v>
      </c>
      <c r="D165" s="567" t="s">
        <v>508</v>
      </c>
      <c r="E165" s="568">
        <v>240000</v>
      </c>
      <c r="F165" s="568">
        <v>80000</v>
      </c>
      <c r="G165" s="568">
        <f>F165/7.5345</f>
        <v>10617.824673170084</v>
      </c>
      <c r="H165" s="568">
        <v>11000</v>
      </c>
      <c r="I165" s="689">
        <f>H165*7.5345</f>
        <v>82879.5</v>
      </c>
      <c r="J165" s="568">
        <v>15000</v>
      </c>
      <c r="K165" s="689">
        <f>J165*7.5345</f>
        <v>113017.5</v>
      </c>
      <c r="L165" s="568">
        <v>150001</v>
      </c>
      <c r="M165" s="689">
        <f>L165*7.5345</f>
        <v>1130182.5345000001</v>
      </c>
      <c r="N165" s="409">
        <f t="shared" si="123"/>
        <v>136.36363636363635</v>
      </c>
      <c r="O165" s="427">
        <f t="shared" si="126"/>
        <v>1000.0066666666667</v>
      </c>
    </row>
    <row r="166" spans="1:15" s="117" customFormat="1" ht="16.2" hidden="1" thickTop="1" x14ac:dyDescent="0.3">
      <c r="A166" s="379" t="s">
        <v>529</v>
      </c>
      <c r="B166" s="488"/>
      <c r="C166" s="400">
        <v>3721</v>
      </c>
      <c r="D166" s="567" t="s">
        <v>509</v>
      </c>
      <c r="E166" s="568">
        <v>240000</v>
      </c>
      <c r="F166" s="568">
        <v>50000</v>
      </c>
      <c r="G166" s="568">
        <f>F166/7.5345</f>
        <v>6636.1404207313026</v>
      </c>
      <c r="H166" s="568">
        <v>8000</v>
      </c>
      <c r="I166" s="689">
        <f>H166*7.5345</f>
        <v>60276</v>
      </c>
      <c r="J166" s="568">
        <v>10000</v>
      </c>
      <c r="K166" s="689">
        <f>J166*7.5345</f>
        <v>75345</v>
      </c>
      <c r="L166" s="568">
        <v>10000</v>
      </c>
      <c r="M166" s="689">
        <f>L166*7.5345</f>
        <v>75345</v>
      </c>
      <c r="N166" s="409">
        <f t="shared" si="123"/>
        <v>125</v>
      </c>
      <c r="O166" s="427">
        <f t="shared" si="126"/>
        <v>100</v>
      </c>
    </row>
    <row r="167" spans="1:15" s="29" customFormat="1" ht="13.8" hidden="1" x14ac:dyDescent="0.25">
      <c r="A167" s="379" t="s">
        <v>529</v>
      </c>
      <c r="B167" s="488"/>
      <c r="C167" s="400">
        <v>3721</v>
      </c>
      <c r="D167" s="567" t="s">
        <v>510</v>
      </c>
      <c r="E167" s="568">
        <v>240000</v>
      </c>
      <c r="F167" s="568">
        <v>100000</v>
      </c>
      <c r="G167" s="568">
        <f>F167/7.5345</f>
        <v>13272.280841462605</v>
      </c>
      <c r="H167" s="568">
        <v>18000</v>
      </c>
      <c r="I167" s="689">
        <f>H167*7.5345</f>
        <v>135621</v>
      </c>
      <c r="J167" s="568">
        <v>20000</v>
      </c>
      <c r="K167" s="689">
        <f>J167*7.5345</f>
        <v>150690</v>
      </c>
      <c r="L167" s="568">
        <v>20000</v>
      </c>
      <c r="M167" s="689">
        <f>L167*7.5345</f>
        <v>150690</v>
      </c>
      <c r="N167" s="409">
        <f t="shared" si="123"/>
        <v>111.11111111111111</v>
      </c>
      <c r="O167" s="427">
        <f t="shared" si="126"/>
        <v>100</v>
      </c>
    </row>
    <row r="168" spans="1:15" ht="13.8" hidden="1" x14ac:dyDescent="0.25">
      <c r="A168" s="379" t="s">
        <v>529</v>
      </c>
      <c r="B168" s="488"/>
      <c r="C168" s="400">
        <v>3722</v>
      </c>
      <c r="D168" s="567" t="s">
        <v>511</v>
      </c>
      <c r="E168" s="568">
        <v>70000</v>
      </c>
      <c r="F168" s="568">
        <v>570000</v>
      </c>
      <c r="G168" s="568">
        <f t="shared" si="118"/>
        <v>75652.000796336841</v>
      </c>
      <c r="H168" s="568">
        <v>150000</v>
      </c>
      <c r="I168" s="689">
        <f t="shared" si="119"/>
        <v>1130175</v>
      </c>
      <c r="J168" s="568">
        <v>160000</v>
      </c>
      <c r="K168" s="689">
        <f t="shared" si="119"/>
        <v>1205520</v>
      </c>
      <c r="L168" s="568">
        <v>170000</v>
      </c>
      <c r="M168" s="689">
        <f t="shared" si="119"/>
        <v>1280865</v>
      </c>
      <c r="N168" s="409">
        <f t="shared" si="123"/>
        <v>106.66666666666667</v>
      </c>
      <c r="O168" s="427">
        <f t="shared" si="126"/>
        <v>106.25</v>
      </c>
    </row>
    <row r="169" spans="1:15" ht="13.8" hidden="1" x14ac:dyDescent="0.25">
      <c r="A169" s="379" t="s">
        <v>529</v>
      </c>
      <c r="B169" s="488"/>
      <c r="C169" s="400">
        <v>3722</v>
      </c>
      <c r="D169" s="567" t="s">
        <v>512</v>
      </c>
      <c r="E169" s="568">
        <v>70000</v>
      </c>
      <c r="F169" s="568">
        <v>40000</v>
      </c>
      <c r="G169" s="568">
        <f t="shared" si="118"/>
        <v>5308.9123365850419</v>
      </c>
      <c r="H169" s="568">
        <v>5000</v>
      </c>
      <c r="I169" s="689">
        <f t="shared" si="119"/>
        <v>37672.5</v>
      </c>
      <c r="J169" s="568">
        <v>5000</v>
      </c>
      <c r="K169" s="689">
        <f t="shared" si="119"/>
        <v>37672.5</v>
      </c>
      <c r="L169" s="568">
        <v>5000</v>
      </c>
      <c r="M169" s="689">
        <f t="shared" si="119"/>
        <v>37672.5</v>
      </c>
      <c r="N169" s="409">
        <f t="shared" si="123"/>
        <v>100</v>
      </c>
      <c r="O169" s="427">
        <f t="shared" si="126"/>
        <v>100</v>
      </c>
    </row>
    <row r="170" spans="1:15" ht="27.6" hidden="1" x14ac:dyDescent="0.25">
      <c r="A170" s="566" t="s">
        <v>529</v>
      </c>
      <c r="B170" s="488"/>
      <c r="C170" s="400">
        <v>3722</v>
      </c>
      <c r="D170" s="567" t="s">
        <v>413</v>
      </c>
      <c r="E170" s="568">
        <v>70000</v>
      </c>
      <c r="F170" s="568">
        <v>50000</v>
      </c>
      <c r="G170" s="568">
        <f t="shared" si="118"/>
        <v>6636.1404207313026</v>
      </c>
      <c r="H170" s="568">
        <v>38000</v>
      </c>
      <c r="I170" s="689">
        <f t="shared" si="119"/>
        <v>286311</v>
      </c>
      <c r="J170" s="568">
        <v>40000</v>
      </c>
      <c r="K170" s="689">
        <f t="shared" si="119"/>
        <v>301380</v>
      </c>
      <c r="L170" s="568">
        <v>40000</v>
      </c>
      <c r="M170" s="689">
        <f t="shared" si="119"/>
        <v>301380</v>
      </c>
      <c r="N170" s="682">
        <f t="shared" si="123"/>
        <v>105.26315789473684</v>
      </c>
      <c r="O170" s="427">
        <f t="shared" si="126"/>
        <v>100</v>
      </c>
    </row>
    <row r="171" spans="1:15" s="415" customFormat="1" ht="28.2" hidden="1" thickBot="1" x14ac:dyDescent="0.3">
      <c r="A171" s="566" t="s">
        <v>529</v>
      </c>
      <c r="B171" s="488"/>
      <c r="C171" s="400">
        <v>3722</v>
      </c>
      <c r="D171" s="567" t="s">
        <v>414</v>
      </c>
      <c r="E171" s="568">
        <v>70000</v>
      </c>
      <c r="F171" s="568">
        <v>60000</v>
      </c>
      <c r="G171" s="568">
        <f t="shared" si="118"/>
        <v>7963.3685048775624</v>
      </c>
      <c r="H171" s="568">
        <v>9000</v>
      </c>
      <c r="I171" s="689">
        <f t="shared" si="119"/>
        <v>67810.5</v>
      </c>
      <c r="J171" s="568">
        <v>10000</v>
      </c>
      <c r="K171" s="689">
        <f t="shared" si="119"/>
        <v>75345</v>
      </c>
      <c r="L171" s="568">
        <v>10000</v>
      </c>
      <c r="M171" s="689">
        <f t="shared" si="119"/>
        <v>75345</v>
      </c>
      <c r="N171" s="682">
        <f t="shared" si="123"/>
        <v>111.11111111111111</v>
      </c>
      <c r="O171" s="427">
        <f t="shared" si="126"/>
        <v>100</v>
      </c>
    </row>
    <row r="172" spans="1:15" s="117" customFormat="1" ht="28.8" hidden="1" thickTop="1" thickBot="1" x14ac:dyDescent="0.35">
      <c r="A172" s="572" t="s">
        <v>529</v>
      </c>
      <c r="B172" s="490"/>
      <c r="C172" s="569">
        <v>3722</v>
      </c>
      <c r="D172" s="570" t="s">
        <v>599</v>
      </c>
      <c r="E172" s="571">
        <v>70000</v>
      </c>
      <c r="F172" s="571">
        <v>40000</v>
      </c>
      <c r="G172" s="571">
        <f t="shared" si="118"/>
        <v>5308.9123365850419</v>
      </c>
      <c r="H172" s="571">
        <v>8500</v>
      </c>
      <c r="I172" s="690">
        <f t="shared" si="119"/>
        <v>64043.25</v>
      </c>
      <c r="J172" s="571">
        <v>10000</v>
      </c>
      <c r="K172" s="690">
        <f t="shared" si="119"/>
        <v>75345</v>
      </c>
      <c r="L172" s="571">
        <v>10000</v>
      </c>
      <c r="M172" s="690">
        <f t="shared" si="119"/>
        <v>75345</v>
      </c>
      <c r="N172" s="683">
        <f t="shared" si="123"/>
        <v>117.64705882352942</v>
      </c>
      <c r="O172" s="480">
        <f t="shared" si="126"/>
        <v>100</v>
      </c>
    </row>
    <row r="173" spans="1:15" s="29" customFormat="1" ht="13.8" x14ac:dyDescent="0.25">
      <c r="A173" s="426"/>
      <c r="B173" s="493"/>
      <c r="C173" s="42"/>
      <c r="D173" s="421" t="s">
        <v>208</v>
      </c>
      <c r="E173" s="397"/>
      <c r="F173" s="396"/>
      <c r="G173" s="396"/>
      <c r="H173" s="396"/>
      <c r="I173" s="577"/>
      <c r="J173" s="396"/>
      <c r="K173" s="577"/>
      <c r="L173" s="396"/>
      <c r="M173" s="577"/>
      <c r="N173" s="942">
        <f>AVERAGE(J175/H175*100)</f>
        <v>100</v>
      </c>
      <c r="O173" s="944">
        <f>AVERAGE(L175/J175*100)</f>
        <v>100</v>
      </c>
    </row>
    <row r="174" spans="1:15" ht="13.8" x14ac:dyDescent="0.25">
      <c r="A174" s="426"/>
      <c r="B174" s="493"/>
      <c r="C174" s="42"/>
      <c r="D174" s="420" t="s">
        <v>675</v>
      </c>
      <c r="E174" s="387"/>
      <c r="F174" s="396"/>
      <c r="G174" s="396"/>
      <c r="H174" s="396"/>
      <c r="I174" s="577"/>
      <c r="J174" s="396"/>
      <c r="K174" s="577"/>
      <c r="L174" s="396"/>
      <c r="M174" s="577"/>
      <c r="N174" s="943"/>
      <c r="O174" s="945"/>
    </row>
    <row r="175" spans="1:15" ht="31.2" x14ac:dyDescent="0.3">
      <c r="A175" s="458"/>
      <c r="B175" s="494"/>
      <c r="C175" s="117"/>
      <c r="D175" s="464" t="s">
        <v>526</v>
      </c>
      <c r="E175" s="459">
        <v>15000</v>
      </c>
      <c r="F175" s="457">
        <f t="shared" ref="F175:M177" si="127">SUM(F176)</f>
        <v>45000</v>
      </c>
      <c r="G175" s="457">
        <f t="shared" si="127"/>
        <v>5972.5263786581718</v>
      </c>
      <c r="H175" s="457">
        <f t="shared" si="127"/>
        <v>6000</v>
      </c>
      <c r="I175" s="457">
        <f t="shared" si="127"/>
        <v>45207</v>
      </c>
      <c r="J175" s="457">
        <f t="shared" si="127"/>
        <v>6000</v>
      </c>
      <c r="K175" s="457">
        <f t="shared" si="127"/>
        <v>45207</v>
      </c>
      <c r="L175" s="457">
        <f t="shared" si="127"/>
        <v>6000</v>
      </c>
      <c r="M175" s="578">
        <f t="shared" si="127"/>
        <v>45207</v>
      </c>
      <c r="N175" s="943"/>
      <c r="O175" s="945"/>
    </row>
    <row r="176" spans="1:15" s="482" customFormat="1" ht="13.8" x14ac:dyDescent="0.25">
      <c r="A176" s="382" t="s">
        <v>530</v>
      </c>
      <c r="B176" s="489"/>
      <c r="C176" s="401">
        <v>38</v>
      </c>
      <c r="D176" s="389" t="s">
        <v>80</v>
      </c>
      <c r="E176" s="386">
        <v>15000</v>
      </c>
      <c r="F176" s="386">
        <f t="shared" si="127"/>
        <v>45000</v>
      </c>
      <c r="G176" s="386">
        <f t="shared" si="127"/>
        <v>5972.5263786581718</v>
      </c>
      <c r="H176" s="386">
        <f t="shared" si="127"/>
        <v>6000</v>
      </c>
      <c r="I176" s="386">
        <f t="shared" si="127"/>
        <v>45207</v>
      </c>
      <c r="J176" s="386">
        <f t="shared" si="127"/>
        <v>6000</v>
      </c>
      <c r="K176" s="386">
        <f t="shared" si="127"/>
        <v>45207</v>
      </c>
      <c r="L176" s="386">
        <f t="shared" si="127"/>
        <v>6000</v>
      </c>
      <c r="M176" s="581">
        <f t="shared" si="127"/>
        <v>45207</v>
      </c>
      <c r="N176" s="409">
        <f t="shared" ref="N176:N178" si="128">AVERAGE(J176/H176*100)</f>
        <v>100</v>
      </c>
      <c r="O176" s="427">
        <f>AVERAGE(L176/J176*100)</f>
        <v>100</v>
      </c>
    </row>
    <row r="177" spans="1:15" ht="14.4" thickBot="1" x14ac:dyDescent="0.3">
      <c r="A177" s="381" t="s">
        <v>530</v>
      </c>
      <c r="B177" s="488"/>
      <c r="C177" s="399">
        <v>381</v>
      </c>
      <c r="D177" s="392" t="s">
        <v>37</v>
      </c>
      <c r="E177" s="387">
        <v>15000</v>
      </c>
      <c r="F177" s="387">
        <f t="shared" si="127"/>
        <v>45000</v>
      </c>
      <c r="G177" s="387">
        <f t="shared" si="127"/>
        <v>5972.5263786581718</v>
      </c>
      <c r="H177" s="387">
        <f t="shared" si="127"/>
        <v>6000</v>
      </c>
      <c r="I177" s="387">
        <f t="shared" si="127"/>
        <v>45207</v>
      </c>
      <c r="J177" s="387">
        <f t="shared" si="127"/>
        <v>6000</v>
      </c>
      <c r="K177" s="387">
        <f t="shared" si="127"/>
        <v>45207</v>
      </c>
      <c r="L177" s="387">
        <f t="shared" si="127"/>
        <v>6000</v>
      </c>
      <c r="M177" s="580">
        <f t="shared" si="127"/>
        <v>45207</v>
      </c>
      <c r="N177" s="409">
        <f t="shared" si="128"/>
        <v>100</v>
      </c>
      <c r="O177" s="427">
        <f t="shared" ref="O177:O178" si="129">AVERAGE(L177/J177*100)</f>
        <v>100</v>
      </c>
    </row>
    <row r="178" spans="1:15" s="230" customFormat="1" ht="14.4" hidden="1" thickBot="1" x14ac:dyDescent="0.3">
      <c r="A178" s="437" t="s">
        <v>530</v>
      </c>
      <c r="B178" s="490"/>
      <c r="C178" s="438">
        <v>3811</v>
      </c>
      <c r="D178" s="412" t="s">
        <v>483</v>
      </c>
      <c r="E178" s="413">
        <v>15000</v>
      </c>
      <c r="F178" s="413">
        <v>45000</v>
      </c>
      <c r="G178" s="413">
        <f>F178/7.5345</f>
        <v>5972.5263786581718</v>
      </c>
      <c r="H178" s="413">
        <v>6000</v>
      </c>
      <c r="I178" s="582">
        <f>H178*7.5345</f>
        <v>45207</v>
      </c>
      <c r="J178" s="413">
        <v>6000</v>
      </c>
      <c r="K178" s="582">
        <f>J178*7.5345</f>
        <v>45207</v>
      </c>
      <c r="L178" s="413">
        <v>6000</v>
      </c>
      <c r="M178" s="582">
        <f>L178*7.5345</f>
        <v>45207</v>
      </c>
      <c r="N178" s="479">
        <f t="shared" si="128"/>
        <v>100</v>
      </c>
      <c r="O178" s="480">
        <f t="shared" si="129"/>
        <v>100</v>
      </c>
    </row>
    <row r="179" spans="1:15" s="117" customFormat="1" ht="15.6" x14ac:dyDescent="0.3">
      <c r="A179" s="426"/>
      <c r="B179" s="493"/>
      <c r="C179" s="42"/>
      <c r="D179" s="421" t="s">
        <v>208</v>
      </c>
      <c r="E179" s="397"/>
      <c r="F179" s="396"/>
      <c r="G179" s="396"/>
      <c r="H179" s="396"/>
      <c r="I179" s="577"/>
      <c r="J179" s="396"/>
      <c r="K179" s="577"/>
      <c r="L179" s="396"/>
      <c r="M179" s="577"/>
      <c r="N179" s="942">
        <f>AVERAGE(J181/H181*100)</f>
        <v>100</v>
      </c>
      <c r="O179" s="944">
        <f>AVERAGE(L181/J181*100)</f>
        <v>100</v>
      </c>
    </row>
    <row r="180" spans="1:15" s="29" customFormat="1" ht="13.8" x14ac:dyDescent="0.25">
      <c r="A180" s="426"/>
      <c r="B180" s="493"/>
      <c r="C180" s="42"/>
      <c r="D180" s="420" t="s">
        <v>676</v>
      </c>
      <c r="E180" s="387"/>
      <c r="F180" s="577"/>
      <c r="G180" s="577"/>
      <c r="H180" s="396"/>
      <c r="I180" s="577"/>
      <c r="J180" s="396"/>
      <c r="K180" s="577"/>
      <c r="L180" s="396"/>
      <c r="M180" s="577"/>
      <c r="N180" s="943"/>
      <c r="O180" s="945"/>
    </row>
    <row r="181" spans="1:15" ht="31.2" x14ac:dyDescent="0.3">
      <c r="A181" s="458"/>
      <c r="B181" s="494"/>
      <c r="C181" s="117"/>
      <c r="D181" s="464" t="s">
        <v>527</v>
      </c>
      <c r="E181" s="459">
        <v>10000</v>
      </c>
      <c r="F181" s="457">
        <f t="shared" ref="F181:M183" si="130">SUM(F182)</f>
        <v>50000</v>
      </c>
      <c r="G181" s="457">
        <f t="shared" si="130"/>
        <v>6636.1404207313026</v>
      </c>
      <c r="H181" s="457">
        <f t="shared" si="130"/>
        <v>7000</v>
      </c>
      <c r="I181" s="457">
        <f t="shared" si="130"/>
        <v>52741.5</v>
      </c>
      <c r="J181" s="457">
        <f t="shared" si="130"/>
        <v>7000</v>
      </c>
      <c r="K181" s="457">
        <f t="shared" si="130"/>
        <v>52741.5</v>
      </c>
      <c r="L181" s="457">
        <f t="shared" si="130"/>
        <v>7000</v>
      </c>
      <c r="M181" s="578">
        <f t="shared" si="130"/>
        <v>52741.5</v>
      </c>
      <c r="N181" s="943"/>
      <c r="O181" s="945"/>
    </row>
    <row r="182" spans="1:15" s="132" customFormat="1" ht="13.8" x14ac:dyDescent="0.25">
      <c r="A182" s="445" t="s">
        <v>531</v>
      </c>
      <c r="B182" s="489"/>
      <c r="C182" s="401">
        <v>37</v>
      </c>
      <c r="D182" s="389" t="s">
        <v>77</v>
      </c>
      <c r="E182" s="386">
        <v>10000</v>
      </c>
      <c r="F182" s="386">
        <f t="shared" si="130"/>
        <v>50000</v>
      </c>
      <c r="G182" s="386">
        <f t="shared" si="130"/>
        <v>6636.1404207313026</v>
      </c>
      <c r="H182" s="386">
        <f t="shared" si="130"/>
        <v>7000</v>
      </c>
      <c r="I182" s="386">
        <f t="shared" si="130"/>
        <v>52741.5</v>
      </c>
      <c r="J182" s="386">
        <f t="shared" si="130"/>
        <v>7000</v>
      </c>
      <c r="K182" s="386">
        <f t="shared" si="130"/>
        <v>52741.5</v>
      </c>
      <c r="L182" s="386">
        <f t="shared" si="130"/>
        <v>7000</v>
      </c>
      <c r="M182" s="581">
        <f t="shared" si="130"/>
        <v>52741.5</v>
      </c>
      <c r="N182" s="409">
        <f t="shared" ref="N182:N184" si="131">AVERAGE(J182/H182*100)</f>
        <v>100</v>
      </c>
      <c r="O182" s="427">
        <f>AVERAGE(L182/J182*100)</f>
        <v>100</v>
      </c>
    </row>
    <row r="183" spans="1:15" s="482" customFormat="1" ht="14.4" thickBot="1" x14ac:dyDescent="0.3">
      <c r="A183" s="381" t="s">
        <v>531</v>
      </c>
      <c r="B183" s="488"/>
      <c r="C183" s="399">
        <v>372</v>
      </c>
      <c r="D183" s="392" t="s">
        <v>77</v>
      </c>
      <c r="E183" s="387">
        <v>10000</v>
      </c>
      <c r="F183" s="387">
        <f t="shared" si="130"/>
        <v>50000</v>
      </c>
      <c r="G183" s="387">
        <f t="shared" si="130"/>
        <v>6636.1404207313026</v>
      </c>
      <c r="H183" s="387">
        <f t="shared" si="130"/>
        <v>7000</v>
      </c>
      <c r="I183" s="387">
        <f t="shared" si="130"/>
        <v>52741.5</v>
      </c>
      <c r="J183" s="387">
        <f t="shared" si="130"/>
        <v>7000</v>
      </c>
      <c r="K183" s="387">
        <f t="shared" si="130"/>
        <v>52741.5</v>
      </c>
      <c r="L183" s="387">
        <f t="shared" si="130"/>
        <v>7000</v>
      </c>
      <c r="M183" s="580">
        <f t="shared" si="130"/>
        <v>52741.5</v>
      </c>
      <c r="N183" s="409">
        <f t="shared" si="131"/>
        <v>100</v>
      </c>
      <c r="O183" s="427">
        <f t="shared" ref="O183:O184" si="132">AVERAGE(L183/J183*100)</f>
        <v>100</v>
      </c>
    </row>
    <row r="184" spans="1:15" ht="14.4" hidden="1" thickBot="1" x14ac:dyDescent="0.3">
      <c r="A184" s="381" t="s">
        <v>531</v>
      </c>
      <c r="B184" s="495"/>
      <c r="C184" s="423">
        <v>3722</v>
      </c>
      <c r="D184" s="394" t="s">
        <v>79</v>
      </c>
      <c r="E184" s="385">
        <v>10000</v>
      </c>
      <c r="F184" s="385">
        <v>50000</v>
      </c>
      <c r="G184" s="387">
        <f>F184/7.5345</f>
        <v>6636.1404207313026</v>
      </c>
      <c r="H184" s="387">
        <v>7000</v>
      </c>
      <c r="I184" s="580">
        <f>H184*7.5345</f>
        <v>52741.5</v>
      </c>
      <c r="J184" s="387">
        <v>7000</v>
      </c>
      <c r="K184" s="580">
        <f>J184*7.5345</f>
        <v>52741.5</v>
      </c>
      <c r="L184" s="387">
        <v>7000</v>
      </c>
      <c r="M184" s="580">
        <f>L184*7.5345</f>
        <v>52741.5</v>
      </c>
      <c r="N184" s="409">
        <f t="shared" si="131"/>
        <v>100</v>
      </c>
      <c r="O184" s="427">
        <f t="shared" si="132"/>
        <v>100</v>
      </c>
    </row>
    <row r="185" spans="1:15" s="230" customFormat="1" ht="18" thickBot="1" x14ac:dyDescent="0.3">
      <c r="A185" s="939" t="s">
        <v>631</v>
      </c>
      <c r="B185" s="940"/>
      <c r="C185" s="940"/>
      <c r="D185" s="941"/>
      <c r="E185" s="593">
        <v>35000</v>
      </c>
      <c r="F185" s="593">
        <f t="shared" ref="F185:I185" si="133">SUM(F188)</f>
        <v>100000</v>
      </c>
      <c r="G185" s="593">
        <f t="shared" si="133"/>
        <v>13272.280841462605</v>
      </c>
      <c r="H185" s="593">
        <f t="shared" si="133"/>
        <v>14000</v>
      </c>
      <c r="I185" s="598">
        <f t="shared" si="133"/>
        <v>105483</v>
      </c>
      <c r="J185" s="593">
        <f t="shared" ref="J185:L185" si="134">SUM(J188)</f>
        <v>15000</v>
      </c>
      <c r="K185" s="598">
        <f t="shared" ref="K185:M185" si="135">SUM(K188)</f>
        <v>113017.5</v>
      </c>
      <c r="L185" s="593">
        <f t="shared" si="134"/>
        <v>15000</v>
      </c>
      <c r="M185" s="598">
        <f t="shared" si="135"/>
        <v>113017.5</v>
      </c>
      <c r="N185" s="600">
        <f>AVERAGE(J185/H185*100)</f>
        <v>107.14285714285714</v>
      </c>
      <c r="O185" s="601">
        <f>AVERAGE(L185/J185*100)</f>
        <v>100</v>
      </c>
    </row>
    <row r="186" spans="1:15" s="117" customFormat="1" ht="15.6" x14ac:dyDescent="0.3">
      <c r="A186" s="426"/>
      <c r="B186" s="42"/>
      <c r="C186" s="42"/>
      <c r="D186" s="421" t="s">
        <v>211</v>
      </c>
      <c r="E186" s="397"/>
      <c r="F186" s="396"/>
      <c r="G186" s="396"/>
      <c r="H186" s="396"/>
      <c r="I186" s="577"/>
      <c r="J186" s="396"/>
      <c r="K186" s="577"/>
      <c r="L186" s="396"/>
      <c r="M186" s="577"/>
      <c r="N186" s="942">
        <f>AVERAGE(J188/H188*100)</f>
        <v>107.14285714285714</v>
      </c>
      <c r="O186" s="944">
        <f>AVERAGE(L188/J188*100)</f>
        <v>100</v>
      </c>
    </row>
    <row r="187" spans="1:15" s="29" customFormat="1" ht="13.8" x14ac:dyDescent="0.25">
      <c r="A187" s="426"/>
      <c r="B187" s="42"/>
      <c r="C187" s="42"/>
      <c r="D187" s="420" t="s">
        <v>677</v>
      </c>
      <c r="E187" s="387"/>
      <c r="F187" s="396"/>
      <c r="G187" s="396"/>
      <c r="H187" s="396"/>
      <c r="I187" s="577"/>
      <c r="J187" s="396"/>
      <c r="K187" s="577"/>
      <c r="L187" s="396"/>
      <c r="M187" s="577"/>
      <c r="N187" s="943"/>
      <c r="O187" s="945"/>
    </row>
    <row r="188" spans="1:15" ht="15.6" x14ac:dyDescent="0.3">
      <c r="A188" s="458"/>
      <c r="B188" s="117"/>
      <c r="C188" s="117"/>
      <c r="D188" s="464" t="s">
        <v>453</v>
      </c>
      <c r="E188" s="459">
        <v>35000</v>
      </c>
      <c r="F188" s="457">
        <f t="shared" ref="F188:M190" si="136">SUM(F189)</f>
        <v>100000</v>
      </c>
      <c r="G188" s="457">
        <f t="shared" si="136"/>
        <v>13272.280841462605</v>
      </c>
      <c r="H188" s="457">
        <f t="shared" si="136"/>
        <v>14000</v>
      </c>
      <c r="I188" s="457">
        <f t="shared" si="136"/>
        <v>105483</v>
      </c>
      <c r="J188" s="457">
        <f t="shared" si="136"/>
        <v>15000</v>
      </c>
      <c r="K188" s="457">
        <f t="shared" si="136"/>
        <v>113017.5</v>
      </c>
      <c r="L188" s="457">
        <f t="shared" si="136"/>
        <v>15000</v>
      </c>
      <c r="M188" s="578">
        <f t="shared" si="136"/>
        <v>113017.5</v>
      </c>
      <c r="N188" s="943"/>
      <c r="O188" s="945"/>
    </row>
    <row r="189" spans="1:15" ht="13.8" x14ac:dyDescent="0.25">
      <c r="A189" s="382" t="s">
        <v>451</v>
      </c>
      <c r="B189" s="388"/>
      <c r="C189" s="378">
        <v>32</v>
      </c>
      <c r="D189" s="389" t="s">
        <v>180</v>
      </c>
      <c r="E189" s="386">
        <v>35000</v>
      </c>
      <c r="F189" s="386">
        <f t="shared" si="136"/>
        <v>100000</v>
      </c>
      <c r="G189" s="386">
        <f t="shared" si="136"/>
        <v>13272.280841462605</v>
      </c>
      <c r="H189" s="386">
        <f t="shared" si="136"/>
        <v>14000</v>
      </c>
      <c r="I189" s="386">
        <f t="shared" si="136"/>
        <v>105483</v>
      </c>
      <c r="J189" s="386">
        <f t="shared" si="136"/>
        <v>15000</v>
      </c>
      <c r="K189" s="386">
        <f t="shared" si="136"/>
        <v>113017.5</v>
      </c>
      <c r="L189" s="386">
        <f t="shared" si="136"/>
        <v>15000</v>
      </c>
      <c r="M189" s="581">
        <f t="shared" si="136"/>
        <v>113017.5</v>
      </c>
      <c r="N189" s="409">
        <f t="shared" ref="N189:N191" si="137">AVERAGE(J189/H189*100)</f>
        <v>107.14285714285714</v>
      </c>
      <c r="O189" s="427">
        <f>AVERAGE(L189/J189*100)</f>
        <v>100</v>
      </c>
    </row>
    <row r="190" spans="1:15" ht="14.4" thickBot="1" x14ac:dyDescent="0.3">
      <c r="A190" s="379" t="s">
        <v>451</v>
      </c>
      <c r="B190" s="390"/>
      <c r="C190" s="391">
        <v>323</v>
      </c>
      <c r="D190" s="392" t="s">
        <v>56</v>
      </c>
      <c r="E190" s="387">
        <v>35000</v>
      </c>
      <c r="F190" s="387">
        <f t="shared" si="136"/>
        <v>100000</v>
      </c>
      <c r="G190" s="387">
        <f t="shared" si="136"/>
        <v>13272.280841462605</v>
      </c>
      <c r="H190" s="387">
        <f t="shared" si="136"/>
        <v>14000</v>
      </c>
      <c r="I190" s="387">
        <f t="shared" si="136"/>
        <v>105483</v>
      </c>
      <c r="J190" s="387">
        <f t="shared" si="136"/>
        <v>15000</v>
      </c>
      <c r="K190" s="387">
        <f t="shared" si="136"/>
        <v>113017.5</v>
      </c>
      <c r="L190" s="387">
        <f t="shared" si="136"/>
        <v>15000</v>
      </c>
      <c r="M190" s="580">
        <f t="shared" si="136"/>
        <v>113017.5</v>
      </c>
      <c r="N190" s="409">
        <f t="shared" si="137"/>
        <v>107.14285714285714</v>
      </c>
      <c r="O190" s="427">
        <f t="shared" ref="O190:O191" si="138">AVERAGE(L190/J190*100)</f>
        <v>100</v>
      </c>
    </row>
    <row r="191" spans="1:15" s="415" customFormat="1" ht="14.4" hidden="1" thickBot="1" x14ac:dyDescent="0.3">
      <c r="A191" s="379" t="s">
        <v>451</v>
      </c>
      <c r="B191" s="495"/>
      <c r="C191" s="423">
        <v>3234</v>
      </c>
      <c r="D191" s="394" t="s">
        <v>60</v>
      </c>
      <c r="E191" s="385">
        <v>35000</v>
      </c>
      <c r="F191" s="385">
        <v>100000</v>
      </c>
      <c r="G191" s="387">
        <f>F191/7.5345</f>
        <v>13272.280841462605</v>
      </c>
      <c r="H191" s="387">
        <v>14000</v>
      </c>
      <c r="I191" s="580">
        <f>H191*7.5345</f>
        <v>105483</v>
      </c>
      <c r="J191" s="387">
        <v>15000</v>
      </c>
      <c r="K191" s="580">
        <f>J191*7.5345</f>
        <v>113017.5</v>
      </c>
      <c r="L191" s="387">
        <v>15000</v>
      </c>
      <c r="M191" s="580">
        <f>L191*7.5345</f>
        <v>113017.5</v>
      </c>
      <c r="N191" s="409">
        <f t="shared" si="137"/>
        <v>107.14285714285714</v>
      </c>
      <c r="O191" s="427">
        <f t="shared" si="138"/>
        <v>100</v>
      </c>
    </row>
    <row r="192" spans="1:15" s="117" customFormat="1" ht="18" thickBot="1" x14ac:dyDescent="0.35">
      <c r="A192" s="939" t="s">
        <v>632</v>
      </c>
      <c r="B192" s="940"/>
      <c r="C192" s="940"/>
      <c r="D192" s="941"/>
      <c r="E192" s="593">
        <v>40000</v>
      </c>
      <c r="F192" s="593">
        <f t="shared" ref="F192:I192" si="139">SUM(F195+F201)</f>
        <v>59000</v>
      </c>
      <c r="G192" s="593">
        <f t="shared" si="139"/>
        <v>7830.6456964629369</v>
      </c>
      <c r="H192" s="593">
        <f t="shared" si="139"/>
        <v>15000</v>
      </c>
      <c r="I192" s="598">
        <f t="shared" si="139"/>
        <v>80345</v>
      </c>
      <c r="J192" s="593">
        <f t="shared" ref="J192:M192" si="140">SUM(J195+J201)</f>
        <v>15000</v>
      </c>
      <c r="K192" s="598">
        <f t="shared" ref="K192" si="141">SUM(K195+K201)</f>
        <v>80345</v>
      </c>
      <c r="L192" s="593">
        <f t="shared" si="140"/>
        <v>15000</v>
      </c>
      <c r="M192" s="598">
        <f t="shared" si="140"/>
        <v>113017.5</v>
      </c>
      <c r="N192" s="600">
        <f>AVERAGE(J192/H192*100)</f>
        <v>100</v>
      </c>
      <c r="O192" s="601">
        <f>AVERAGE(L192/J192*100)</f>
        <v>100</v>
      </c>
    </row>
    <row r="193" spans="1:15" s="29" customFormat="1" ht="13.8" x14ac:dyDescent="0.25">
      <c r="A193" s="426"/>
      <c r="B193" s="42"/>
      <c r="C193" s="42"/>
      <c r="D193" s="421" t="s">
        <v>178</v>
      </c>
      <c r="E193" s="397"/>
      <c r="F193" s="396"/>
      <c r="G193" s="396"/>
      <c r="H193" s="396"/>
      <c r="I193" s="577"/>
      <c r="J193" s="396"/>
      <c r="K193" s="577"/>
      <c r="L193" s="396"/>
      <c r="M193" s="577"/>
      <c r="N193" s="942">
        <f>AVERAGE(J195/H195*100)</f>
        <v>100</v>
      </c>
      <c r="O193" s="944">
        <f>AVERAGE(L195/J195*100)</f>
        <v>100</v>
      </c>
    </row>
    <row r="194" spans="1:15" ht="13.8" x14ac:dyDescent="0.25">
      <c r="A194" s="426"/>
      <c r="B194" s="42"/>
      <c r="C194" s="42"/>
      <c r="D194" s="420" t="s">
        <v>670</v>
      </c>
      <c r="E194" s="387"/>
      <c r="F194" s="396"/>
      <c r="G194" s="396"/>
      <c r="H194" s="396"/>
      <c r="I194" s="577"/>
      <c r="J194" s="396"/>
      <c r="K194" s="577"/>
      <c r="L194" s="396"/>
      <c r="M194" s="577"/>
      <c r="N194" s="943"/>
      <c r="O194" s="945"/>
    </row>
    <row r="195" spans="1:15" ht="31.2" x14ac:dyDescent="0.3">
      <c r="A195" s="458"/>
      <c r="B195" s="117"/>
      <c r="C195" s="117"/>
      <c r="D195" s="464" t="s">
        <v>619</v>
      </c>
      <c r="E195" s="459">
        <v>40000</v>
      </c>
      <c r="F195" s="457">
        <f t="shared" ref="F195:M197" si="142">SUM(F196)</f>
        <v>50000</v>
      </c>
      <c r="G195" s="457">
        <f t="shared" si="142"/>
        <v>6636.1404207313026</v>
      </c>
      <c r="H195" s="457">
        <f t="shared" si="142"/>
        <v>10000</v>
      </c>
      <c r="I195" s="457">
        <f t="shared" si="142"/>
        <v>75345</v>
      </c>
      <c r="J195" s="457">
        <f t="shared" si="142"/>
        <v>10000</v>
      </c>
      <c r="K195" s="457">
        <f t="shared" si="142"/>
        <v>75345</v>
      </c>
      <c r="L195" s="457">
        <f t="shared" si="142"/>
        <v>10000</v>
      </c>
      <c r="M195" s="578">
        <f t="shared" si="142"/>
        <v>75345</v>
      </c>
      <c r="N195" s="943"/>
      <c r="O195" s="945"/>
    </row>
    <row r="196" spans="1:15" ht="13.8" x14ac:dyDescent="0.25">
      <c r="A196" s="382" t="s">
        <v>452</v>
      </c>
      <c r="B196" s="388"/>
      <c r="C196" s="378">
        <v>38</v>
      </c>
      <c r="D196" s="389" t="s">
        <v>128</v>
      </c>
      <c r="E196" s="386">
        <v>40000</v>
      </c>
      <c r="F196" s="386">
        <f t="shared" si="142"/>
        <v>50000</v>
      </c>
      <c r="G196" s="386">
        <f t="shared" si="142"/>
        <v>6636.1404207313026</v>
      </c>
      <c r="H196" s="386">
        <f t="shared" si="142"/>
        <v>10000</v>
      </c>
      <c r="I196" s="386">
        <f t="shared" si="142"/>
        <v>75345</v>
      </c>
      <c r="J196" s="386">
        <f t="shared" si="142"/>
        <v>10000</v>
      </c>
      <c r="K196" s="386">
        <f t="shared" si="142"/>
        <v>75345</v>
      </c>
      <c r="L196" s="386">
        <f t="shared" si="142"/>
        <v>10000</v>
      </c>
      <c r="M196" s="581">
        <f t="shared" si="142"/>
        <v>75345</v>
      </c>
      <c r="N196" s="409">
        <f t="shared" ref="N196:N198" si="143">AVERAGE(J196/H196*100)</f>
        <v>100</v>
      </c>
      <c r="O196" s="427">
        <f>AVERAGE(L196/J196*100)</f>
        <v>100</v>
      </c>
    </row>
    <row r="197" spans="1:15" s="482" customFormat="1" ht="14.4" thickBot="1" x14ac:dyDescent="0.3">
      <c r="A197" s="379" t="s">
        <v>452</v>
      </c>
      <c r="B197" s="390"/>
      <c r="C197" s="391">
        <v>381</v>
      </c>
      <c r="D197" s="392" t="s">
        <v>37</v>
      </c>
      <c r="E197" s="387">
        <v>40000</v>
      </c>
      <c r="F197" s="387">
        <f t="shared" si="142"/>
        <v>50000</v>
      </c>
      <c r="G197" s="387">
        <f t="shared" si="142"/>
        <v>6636.1404207313026</v>
      </c>
      <c r="H197" s="387">
        <f t="shared" si="142"/>
        <v>10000</v>
      </c>
      <c r="I197" s="387">
        <f t="shared" si="142"/>
        <v>75345</v>
      </c>
      <c r="J197" s="387">
        <f t="shared" si="142"/>
        <v>10000</v>
      </c>
      <c r="K197" s="387">
        <f t="shared" si="142"/>
        <v>75345</v>
      </c>
      <c r="L197" s="387">
        <f t="shared" si="142"/>
        <v>10000</v>
      </c>
      <c r="M197" s="580">
        <f t="shared" si="142"/>
        <v>75345</v>
      </c>
      <c r="N197" s="409">
        <f t="shared" si="143"/>
        <v>100</v>
      </c>
      <c r="O197" s="427">
        <f t="shared" ref="O197:O198" si="144">AVERAGE(L197/J197*100)</f>
        <v>100</v>
      </c>
    </row>
    <row r="198" spans="1:15" ht="14.4" hidden="1" thickBot="1" x14ac:dyDescent="0.3">
      <c r="A198" s="432" t="s">
        <v>452</v>
      </c>
      <c r="B198" s="490"/>
      <c r="C198" s="411">
        <v>3811</v>
      </c>
      <c r="D198" s="412" t="s">
        <v>228</v>
      </c>
      <c r="E198" s="413">
        <v>40000</v>
      </c>
      <c r="F198" s="413">
        <v>50000</v>
      </c>
      <c r="G198" s="413">
        <f>F198/7.5345</f>
        <v>6636.1404207313026</v>
      </c>
      <c r="H198" s="413">
        <v>10000</v>
      </c>
      <c r="I198" s="582">
        <f>H198*7.5345</f>
        <v>75345</v>
      </c>
      <c r="J198" s="413">
        <v>10000</v>
      </c>
      <c r="K198" s="582">
        <f>J198*7.5345</f>
        <v>75345</v>
      </c>
      <c r="L198" s="413">
        <v>10000</v>
      </c>
      <c r="M198" s="582">
        <f>L198*7.5345</f>
        <v>75345</v>
      </c>
      <c r="N198" s="479">
        <f t="shared" si="143"/>
        <v>100</v>
      </c>
      <c r="O198" s="480">
        <f t="shared" si="144"/>
        <v>100</v>
      </c>
    </row>
    <row r="199" spans="1:15" s="230" customFormat="1" ht="13.8" x14ac:dyDescent="0.25">
      <c r="A199" s="426"/>
      <c r="B199" s="42"/>
      <c r="C199" s="42"/>
      <c r="D199" s="421" t="s">
        <v>178</v>
      </c>
      <c r="E199" s="397"/>
      <c r="F199" s="396"/>
      <c r="G199" s="396"/>
      <c r="H199" s="396"/>
      <c r="I199" s="577"/>
      <c r="J199" s="396"/>
      <c r="K199" s="577"/>
      <c r="L199" s="396"/>
      <c r="M199" s="577"/>
      <c r="N199" s="942">
        <f>AVERAGE(J201/H201*100)</f>
        <v>100</v>
      </c>
      <c r="O199" s="944">
        <f>AVERAGE(L201/J201*100)</f>
        <v>100</v>
      </c>
    </row>
    <row r="200" spans="1:15" s="117" customFormat="1" ht="15.6" x14ac:dyDescent="0.3">
      <c r="A200" s="426"/>
      <c r="B200" s="42"/>
      <c r="C200" s="42"/>
      <c r="D200" s="420" t="s">
        <v>678</v>
      </c>
      <c r="E200" s="387"/>
      <c r="F200" s="396"/>
      <c r="G200" s="396"/>
      <c r="H200" s="396"/>
      <c r="I200" s="577"/>
      <c r="J200" s="396"/>
      <c r="K200" s="577"/>
      <c r="L200" s="396"/>
      <c r="M200" s="577"/>
      <c r="N200" s="943"/>
      <c r="O200" s="945"/>
    </row>
    <row r="201" spans="1:15" s="29" customFormat="1" ht="15.6" x14ac:dyDescent="0.3">
      <c r="A201" s="458"/>
      <c r="B201" s="117"/>
      <c r="C201" s="117"/>
      <c r="D201" s="464" t="s">
        <v>426</v>
      </c>
      <c r="E201" s="459">
        <v>40000</v>
      </c>
      <c r="F201" s="457">
        <f t="shared" ref="F201:M202" si="145">SUM(F202)</f>
        <v>9000</v>
      </c>
      <c r="G201" s="457">
        <f t="shared" si="145"/>
        <v>1194.5052757316344</v>
      </c>
      <c r="H201" s="457">
        <f t="shared" si="145"/>
        <v>5000</v>
      </c>
      <c r="I201" s="457">
        <f t="shared" si="145"/>
        <v>5000</v>
      </c>
      <c r="J201" s="457">
        <f t="shared" si="145"/>
        <v>5000</v>
      </c>
      <c r="K201" s="457">
        <f t="shared" si="145"/>
        <v>5000</v>
      </c>
      <c r="L201" s="457">
        <f t="shared" si="145"/>
        <v>5000</v>
      </c>
      <c r="M201" s="578">
        <f t="shared" si="145"/>
        <v>37672.5</v>
      </c>
      <c r="N201" s="943"/>
      <c r="O201" s="945"/>
    </row>
    <row r="202" spans="1:15" ht="13.8" x14ac:dyDescent="0.25">
      <c r="A202" s="382" t="s">
        <v>532</v>
      </c>
      <c r="B202" s="388"/>
      <c r="C202" s="378">
        <v>32</v>
      </c>
      <c r="D202" s="389" t="s">
        <v>47</v>
      </c>
      <c r="E202" s="386">
        <v>40000</v>
      </c>
      <c r="F202" s="386">
        <f t="shared" si="145"/>
        <v>9000</v>
      </c>
      <c r="G202" s="386">
        <f t="shared" si="145"/>
        <v>1194.5052757316344</v>
      </c>
      <c r="H202" s="386">
        <v>5000</v>
      </c>
      <c r="I202" s="386">
        <v>5000</v>
      </c>
      <c r="J202" s="386">
        <v>5000</v>
      </c>
      <c r="K202" s="386">
        <v>5000</v>
      </c>
      <c r="L202" s="386">
        <v>5000</v>
      </c>
      <c r="M202" s="581">
        <f t="shared" si="145"/>
        <v>37672.5</v>
      </c>
      <c r="N202" s="409">
        <f t="shared" ref="N202:N204" si="146">AVERAGE(J202/H202*100)</f>
        <v>100</v>
      </c>
      <c r="O202" s="427">
        <f>AVERAGE(L202/J202*100)</f>
        <v>100</v>
      </c>
    </row>
    <row r="203" spans="1:15" ht="14.4" thickBot="1" x14ac:dyDescent="0.3">
      <c r="A203" s="379" t="s">
        <v>532</v>
      </c>
      <c r="B203" s="390"/>
      <c r="C203" s="391">
        <v>323</v>
      </c>
      <c r="D203" s="392" t="s">
        <v>56</v>
      </c>
      <c r="E203" s="387">
        <v>40000</v>
      </c>
      <c r="F203" s="387">
        <f t="shared" ref="F203:M203" si="147">SUM(F204:F204)</f>
        <v>9000</v>
      </c>
      <c r="G203" s="387">
        <f t="shared" si="147"/>
        <v>1194.5052757316344</v>
      </c>
      <c r="H203" s="387">
        <f t="shared" si="147"/>
        <v>5000</v>
      </c>
      <c r="I203" s="387">
        <f t="shared" si="147"/>
        <v>37672.5</v>
      </c>
      <c r="J203" s="387">
        <f t="shared" si="147"/>
        <v>5000</v>
      </c>
      <c r="K203" s="387">
        <f t="shared" si="147"/>
        <v>37672.5</v>
      </c>
      <c r="L203" s="387">
        <f t="shared" si="147"/>
        <v>5000</v>
      </c>
      <c r="M203" s="580">
        <f t="shared" si="147"/>
        <v>37672.5</v>
      </c>
      <c r="N203" s="409">
        <f t="shared" si="146"/>
        <v>100</v>
      </c>
      <c r="O203" s="427">
        <f t="shared" ref="O203:O204" si="148">AVERAGE(L203/J203*100)</f>
        <v>100</v>
      </c>
    </row>
    <row r="204" spans="1:15" s="29" customFormat="1" ht="14.4" hidden="1" thickBot="1" x14ac:dyDescent="0.3">
      <c r="A204" s="379" t="s">
        <v>532</v>
      </c>
      <c r="B204" s="488"/>
      <c r="C204" s="391">
        <v>3236</v>
      </c>
      <c r="D204" s="392" t="s">
        <v>61</v>
      </c>
      <c r="E204" s="387">
        <v>40000</v>
      </c>
      <c r="F204" s="387">
        <v>9000</v>
      </c>
      <c r="G204" s="387">
        <f>F204/7.5345</f>
        <v>1194.5052757316344</v>
      </c>
      <c r="H204" s="387">
        <v>5000</v>
      </c>
      <c r="I204" s="580">
        <f>H204*7.5345</f>
        <v>37672.5</v>
      </c>
      <c r="J204" s="387">
        <v>5000</v>
      </c>
      <c r="K204" s="580">
        <f>J204*7.5345</f>
        <v>37672.5</v>
      </c>
      <c r="L204" s="387">
        <v>5000</v>
      </c>
      <c r="M204" s="580">
        <f>L204*7.5345</f>
        <v>37672.5</v>
      </c>
      <c r="N204" s="409">
        <f t="shared" si="146"/>
        <v>100</v>
      </c>
      <c r="O204" s="427">
        <f t="shared" si="148"/>
        <v>100</v>
      </c>
    </row>
    <row r="205" spans="1:15" ht="18" thickBot="1" x14ac:dyDescent="0.3">
      <c r="A205" s="939" t="s">
        <v>633</v>
      </c>
      <c r="B205" s="940"/>
      <c r="C205" s="940"/>
      <c r="D205" s="941"/>
      <c r="E205" s="593">
        <f t="shared" ref="E205:M205" si="149">SUM(E208+E214+E220+E226+E233)</f>
        <v>120000</v>
      </c>
      <c r="F205" s="593" t="e">
        <f t="shared" si="149"/>
        <v>#REF!</v>
      </c>
      <c r="G205" s="593" t="e">
        <f t="shared" si="149"/>
        <v>#REF!</v>
      </c>
      <c r="H205" s="593">
        <f t="shared" si="149"/>
        <v>39200</v>
      </c>
      <c r="I205" s="598">
        <f t="shared" si="149"/>
        <v>295352.40000000002</v>
      </c>
      <c r="J205" s="593">
        <f t="shared" si="149"/>
        <v>44000</v>
      </c>
      <c r="K205" s="598">
        <f t="shared" si="149"/>
        <v>331518</v>
      </c>
      <c r="L205" s="593">
        <f t="shared" si="149"/>
        <v>46000</v>
      </c>
      <c r="M205" s="598" t="e">
        <f t="shared" si="149"/>
        <v>#REF!</v>
      </c>
      <c r="N205" s="600">
        <f>AVERAGE(J205/H205*100)</f>
        <v>112.24489795918366</v>
      </c>
      <c r="O205" s="601">
        <f>AVERAGE(L205/J205*100)</f>
        <v>104.54545454545455</v>
      </c>
    </row>
    <row r="206" spans="1:15" ht="13.8" x14ac:dyDescent="0.25">
      <c r="A206" s="426"/>
      <c r="B206" s="42"/>
      <c r="C206" s="42"/>
      <c r="D206" s="421" t="s">
        <v>214</v>
      </c>
      <c r="E206" s="397"/>
      <c r="F206" s="396"/>
      <c r="G206" s="396"/>
      <c r="H206" s="396"/>
      <c r="I206" s="577"/>
      <c r="J206" s="396"/>
      <c r="K206" s="577"/>
      <c r="L206" s="396"/>
      <c r="M206" s="577"/>
      <c r="N206" s="408"/>
      <c r="O206" s="944">
        <f>AVERAGE(L208/J208*100)</f>
        <v>100</v>
      </c>
    </row>
    <row r="207" spans="1:15" s="415" customFormat="1" ht="14.4" thickBot="1" x14ac:dyDescent="0.3">
      <c r="A207" s="426"/>
      <c r="B207" s="42"/>
      <c r="C207" s="42"/>
      <c r="D207" s="420" t="s">
        <v>679</v>
      </c>
      <c r="E207" s="387"/>
      <c r="F207" s="396"/>
      <c r="G207" s="396"/>
      <c r="H207" s="396"/>
      <c r="I207" s="577"/>
      <c r="J207" s="396"/>
      <c r="K207" s="577"/>
      <c r="L207" s="396"/>
      <c r="M207" s="577"/>
      <c r="N207" s="942">
        <v>111.11111111111111</v>
      </c>
      <c r="O207" s="945"/>
    </row>
    <row r="208" spans="1:15" s="587" customFormat="1" ht="16.2" thickTop="1" x14ac:dyDescent="0.3">
      <c r="A208" s="458"/>
      <c r="B208" s="117"/>
      <c r="C208" s="117"/>
      <c r="D208" s="464" t="s">
        <v>427</v>
      </c>
      <c r="E208" s="459">
        <v>50000</v>
      </c>
      <c r="F208" s="457" t="e">
        <f>SUM(#REF!+F209)</f>
        <v>#REF!</v>
      </c>
      <c r="G208" s="457" t="e">
        <f>SUM(#REF!+G209)</f>
        <v>#REF!</v>
      </c>
      <c r="H208" s="457">
        <f>SUM(H209)</f>
        <v>27500</v>
      </c>
      <c r="I208" s="457">
        <f t="shared" ref="I208:L208" si="150">SUM(I209)</f>
        <v>207198.75</v>
      </c>
      <c r="J208" s="457">
        <f t="shared" si="150"/>
        <v>35000</v>
      </c>
      <c r="K208" s="457">
        <f t="shared" si="150"/>
        <v>263707.5</v>
      </c>
      <c r="L208" s="457">
        <f t="shared" si="150"/>
        <v>35000</v>
      </c>
      <c r="M208" s="578" t="e">
        <f>SUM(#REF!+M209)</f>
        <v>#REF!</v>
      </c>
      <c r="N208" s="948"/>
      <c r="O208" s="945"/>
    </row>
    <row r="209" spans="1:15" s="589" customFormat="1" ht="13.8" x14ac:dyDescent="0.25">
      <c r="A209" s="445" t="s">
        <v>454</v>
      </c>
      <c r="B209" s="485"/>
      <c r="C209" s="378">
        <v>38</v>
      </c>
      <c r="D209" s="389" t="s">
        <v>80</v>
      </c>
      <c r="E209" s="386">
        <v>70000</v>
      </c>
      <c r="F209" s="386">
        <f t="shared" ref="F209:M210" si="151">SUM(F210)</f>
        <v>140000</v>
      </c>
      <c r="G209" s="386">
        <f t="shared" si="151"/>
        <v>18581.193178047648</v>
      </c>
      <c r="H209" s="386">
        <f t="shared" si="151"/>
        <v>27500</v>
      </c>
      <c r="I209" s="386">
        <f t="shared" si="151"/>
        <v>207198.75</v>
      </c>
      <c r="J209" s="386">
        <f t="shared" si="151"/>
        <v>35000</v>
      </c>
      <c r="K209" s="386">
        <f t="shared" si="151"/>
        <v>263707.5</v>
      </c>
      <c r="L209" s="386">
        <f t="shared" si="151"/>
        <v>35000</v>
      </c>
      <c r="M209" s="581">
        <f t="shared" si="151"/>
        <v>263707.5</v>
      </c>
      <c r="N209" s="409">
        <f t="shared" ref="N209:N211" si="152">AVERAGE(J209/H209*100)</f>
        <v>127.27272727272727</v>
      </c>
      <c r="O209" s="427">
        <f t="shared" ref="O209:O211" si="153">AVERAGE(L209/J209*100)</f>
        <v>100</v>
      </c>
    </row>
    <row r="210" spans="1:15" s="589" customFormat="1" ht="13.8" x14ac:dyDescent="0.25">
      <c r="A210" s="381" t="s">
        <v>454</v>
      </c>
      <c r="B210" s="484"/>
      <c r="C210" s="391">
        <v>381</v>
      </c>
      <c r="D210" s="392" t="s">
        <v>37</v>
      </c>
      <c r="E210" s="387">
        <v>50000</v>
      </c>
      <c r="F210" s="387">
        <f t="shared" si="151"/>
        <v>140000</v>
      </c>
      <c r="G210" s="387">
        <f t="shared" si="151"/>
        <v>18581.193178047648</v>
      </c>
      <c r="H210" s="387">
        <f t="shared" si="151"/>
        <v>27500</v>
      </c>
      <c r="I210" s="387">
        <f t="shared" si="151"/>
        <v>207198.75</v>
      </c>
      <c r="J210" s="387">
        <f t="shared" si="151"/>
        <v>35000</v>
      </c>
      <c r="K210" s="387">
        <f t="shared" si="151"/>
        <v>263707.5</v>
      </c>
      <c r="L210" s="387">
        <f t="shared" si="151"/>
        <v>35000</v>
      </c>
      <c r="M210" s="580">
        <f t="shared" si="151"/>
        <v>263707.5</v>
      </c>
      <c r="N210" s="409">
        <f t="shared" si="152"/>
        <v>127.27272727272727</v>
      </c>
      <c r="O210" s="427">
        <f t="shared" si="153"/>
        <v>100</v>
      </c>
    </row>
    <row r="211" spans="1:15" s="117" customFormat="1" ht="16.2" hidden="1" thickBot="1" x14ac:dyDescent="0.35">
      <c r="A211" s="437" t="s">
        <v>454</v>
      </c>
      <c r="B211" s="486"/>
      <c r="C211" s="411">
        <v>3811</v>
      </c>
      <c r="D211" s="412" t="s">
        <v>415</v>
      </c>
      <c r="E211" s="413">
        <v>50000</v>
      </c>
      <c r="F211" s="413">
        <v>140000</v>
      </c>
      <c r="G211" s="413">
        <f>F211/7.5345</f>
        <v>18581.193178047648</v>
      </c>
      <c r="H211" s="413">
        <v>27500</v>
      </c>
      <c r="I211" s="582">
        <f>H211*7.5345</f>
        <v>207198.75</v>
      </c>
      <c r="J211" s="413">
        <v>35000</v>
      </c>
      <c r="K211" s="582">
        <f>J211*7.5345</f>
        <v>263707.5</v>
      </c>
      <c r="L211" s="413">
        <v>35000</v>
      </c>
      <c r="M211" s="582">
        <f>L211*7.5345</f>
        <v>263707.5</v>
      </c>
      <c r="N211" s="479">
        <f t="shared" si="152"/>
        <v>127.27272727272727</v>
      </c>
      <c r="O211" s="480">
        <f t="shared" si="153"/>
        <v>100</v>
      </c>
    </row>
    <row r="212" spans="1:15" s="29" customFormat="1" ht="13.8" x14ac:dyDescent="0.25">
      <c r="A212" s="771"/>
      <c r="B212" s="772"/>
      <c r="C212" s="773"/>
      <c r="D212" s="760" t="s">
        <v>214</v>
      </c>
      <c r="E212" s="774"/>
      <c r="F212" s="730"/>
      <c r="G212" s="730"/>
      <c r="H212" s="730"/>
      <c r="I212" s="761"/>
      <c r="J212" s="730"/>
      <c r="K212" s="761"/>
      <c r="L212" s="730"/>
      <c r="M212" s="761"/>
      <c r="N212" s="762"/>
      <c r="O212" s="763"/>
    </row>
    <row r="213" spans="1:15" ht="13.8" x14ac:dyDescent="0.25">
      <c r="A213" s="771"/>
      <c r="B213" s="772"/>
      <c r="C213" s="773"/>
      <c r="D213" s="760" t="s">
        <v>680</v>
      </c>
      <c r="E213" s="728"/>
      <c r="F213" s="730"/>
      <c r="G213" s="730"/>
      <c r="H213" s="730"/>
      <c r="I213" s="761"/>
      <c r="J213" s="730"/>
      <c r="K213" s="761"/>
      <c r="L213" s="730"/>
      <c r="M213" s="761"/>
      <c r="N213" s="762"/>
      <c r="O213" s="763"/>
    </row>
    <row r="214" spans="1:15" ht="15.6" x14ac:dyDescent="0.3">
      <c r="A214" s="775"/>
      <c r="B214" s="776"/>
      <c r="C214" s="777"/>
      <c r="D214" s="778" t="s">
        <v>428</v>
      </c>
      <c r="E214" s="738">
        <v>0</v>
      </c>
      <c r="F214" s="712">
        <f t="shared" ref="F214:M216" si="154">SUM(F215)</f>
        <v>0</v>
      </c>
      <c r="G214" s="712">
        <f t="shared" si="154"/>
        <v>0</v>
      </c>
      <c r="H214" s="712">
        <f t="shared" si="154"/>
        <v>1500</v>
      </c>
      <c r="I214" s="712">
        <f t="shared" si="154"/>
        <v>11301.75</v>
      </c>
      <c r="J214" s="712">
        <f t="shared" si="154"/>
        <v>1500</v>
      </c>
      <c r="K214" s="712">
        <f t="shared" si="154"/>
        <v>11301.75</v>
      </c>
      <c r="L214" s="712">
        <f t="shared" si="154"/>
        <v>1500</v>
      </c>
      <c r="M214" s="779">
        <f t="shared" si="154"/>
        <v>11301.75</v>
      </c>
      <c r="N214" s="780">
        <v>0</v>
      </c>
      <c r="O214" s="781">
        <v>0</v>
      </c>
    </row>
    <row r="215" spans="1:15" ht="13.8" x14ac:dyDescent="0.25">
      <c r="A215" s="766" t="s">
        <v>455</v>
      </c>
      <c r="B215" s="782"/>
      <c r="C215" s="741">
        <v>42</v>
      </c>
      <c r="D215" s="742" t="s">
        <v>96</v>
      </c>
      <c r="E215" s="743">
        <v>0</v>
      </c>
      <c r="F215" s="743">
        <f t="shared" si="154"/>
        <v>0</v>
      </c>
      <c r="G215" s="743">
        <f t="shared" si="154"/>
        <v>0</v>
      </c>
      <c r="H215" s="743">
        <f t="shared" si="154"/>
        <v>1500</v>
      </c>
      <c r="I215" s="743">
        <f t="shared" si="154"/>
        <v>11301.75</v>
      </c>
      <c r="J215" s="743">
        <f t="shared" si="154"/>
        <v>1500</v>
      </c>
      <c r="K215" s="743">
        <f t="shared" si="154"/>
        <v>11301.75</v>
      </c>
      <c r="L215" s="743">
        <f t="shared" si="154"/>
        <v>1500</v>
      </c>
      <c r="M215" s="744">
        <f t="shared" si="154"/>
        <v>11301.75</v>
      </c>
      <c r="N215" s="736">
        <v>0</v>
      </c>
      <c r="O215" s="783">
        <v>0</v>
      </c>
    </row>
    <row r="216" spans="1:15" s="415" customFormat="1" ht="14.4" thickBot="1" x14ac:dyDescent="0.3">
      <c r="A216" s="770" t="s">
        <v>455</v>
      </c>
      <c r="B216" s="784"/>
      <c r="C216" s="746">
        <v>426</v>
      </c>
      <c r="D216" s="734" t="s">
        <v>117</v>
      </c>
      <c r="E216" s="728">
        <v>0</v>
      </c>
      <c r="F216" s="728">
        <f t="shared" si="154"/>
        <v>0</v>
      </c>
      <c r="G216" s="728">
        <f t="shared" si="154"/>
        <v>0</v>
      </c>
      <c r="H216" s="728">
        <f t="shared" si="154"/>
        <v>1500</v>
      </c>
      <c r="I216" s="728">
        <f t="shared" si="154"/>
        <v>11301.75</v>
      </c>
      <c r="J216" s="728">
        <f t="shared" si="154"/>
        <v>1500</v>
      </c>
      <c r="K216" s="728">
        <f t="shared" si="154"/>
        <v>11301.75</v>
      </c>
      <c r="L216" s="728">
        <f t="shared" si="154"/>
        <v>1500</v>
      </c>
      <c r="M216" s="735">
        <f t="shared" si="154"/>
        <v>11301.75</v>
      </c>
      <c r="N216" s="736">
        <v>0</v>
      </c>
      <c r="O216" s="783">
        <v>0</v>
      </c>
    </row>
    <row r="217" spans="1:15" s="117" customFormat="1" ht="16.8" hidden="1" thickTop="1" thickBot="1" x14ac:dyDescent="0.35">
      <c r="A217" s="785" t="s">
        <v>455</v>
      </c>
      <c r="B217" s="754"/>
      <c r="C217" s="786">
        <v>4264</v>
      </c>
      <c r="D217" s="756" t="s">
        <v>404</v>
      </c>
      <c r="E217" s="757">
        <v>0</v>
      </c>
      <c r="F217" s="757">
        <v>0</v>
      </c>
      <c r="G217" s="757">
        <f>F217/7.5345</f>
        <v>0</v>
      </c>
      <c r="H217" s="757">
        <v>1500</v>
      </c>
      <c r="I217" s="758">
        <f>H217*7.5345</f>
        <v>11301.75</v>
      </c>
      <c r="J217" s="757">
        <v>1500</v>
      </c>
      <c r="K217" s="758">
        <f>J217*7.5345</f>
        <v>11301.75</v>
      </c>
      <c r="L217" s="757">
        <v>1500</v>
      </c>
      <c r="M217" s="758">
        <f>L217*7.5345</f>
        <v>11301.75</v>
      </c>
      <c r="N217" s="759">
        <v>0</v>
      </c>
      <c r="O217" s="765">
        <v>0</v>
      </c>
    </row>
    <row r="218" spans="1:15" s="231" customFormat="1" ht="14.4" thickTop="1" x14ac:dyDescent="0.25">
      <c r="A218" s="426"/>
      <c r="B218" s="491"/>
      <c r="C218" s="42"/>
      <c r="D218" s="421" t="s">
        <v>214</v>
      </c>
      <c r="E218" s="397"/>
      <c r="F218" s="396"/>
      <c r="G218" s="396"/>
      <c r="H218" s="396"/>
      <c r="I218" s="577"/>
      <c r="J218" s="396"/>
      <c r="K218" s="577"/>
      <c r="L218" s="396"/>
      <c r="M218" s="577"/>
      <c r="N218" s="406"/>
      <c r="O218" s="434"/>
    </row>
    <row r="219" spans="1:15" ht="13.8" x14ac:dyDescent="0.25">
      <c r="A219" s="426"/>
      <c r="B219" s="491"/>
      <c r="C219" s="42"/>
      <c r="D219" s="421" t="s">
        <v>670</v>
      </c>
      <c r="E219" s="387"/>
      <c r="F219" s="396"/>
      <c r="G219" s="396"/>
      <c r="H219" s="396"/>
      <c r="I219" s="577"/>
      <c r="J219" s="396"/>
      <c r="K219" s="577"/>
      <c r="L219" s="396"/>
      <c r="M219" s="577"/>
      <c r="N219" s="406"/>
      <c r="O219" s="434"/>
    </row>
    <row r="220" spans="1:15" ht="15.6" x14ac:dyDescent="0.3">
      <c r="A220" s="458"/>
      <c r="B220" s="492"/>
      <c r="C220" s="117"/>
      <c r="D220" s="464" t="s">
        <v>642</v>
      </c>
      <c r="E220" s="459">
        <v>5000</v>
      </c>
      <c r="F220" s="457">
        <f t="shared" ref="F220:M222" si="155">SUM(F221)</f>
        <v>5000</v>
      </c>
      <c r="G220" s="457">
        <f t="shared" si="155"/>
        <v>663.61404207313024</v>
      </c>
      <c r="H220" s="457">
        <f t="shared" si="155"/>
        <v>700</v>
      </c>
      <c r="I220" s="457">
        <f t="shared" si="155"/>
        <v>5274.1500000000005</v>
      </c>
      <c r="J220" s="457">
        <f t="shared" si="155"/>
        <v>1000</v>
      </c>
      <c r="K220" s="457">
        <f t="shared" si="155"/>
        <v>7534.5</v>
      </c>
      <c r="L220" s="457">
        <f t="shared" si="155"/>
        <v>1000</v>
      </c>
      <c r="M220" s="578">
        <f t="shared" si="155"/>
        <v>7534.5</v>
      </c>
      <c r="N220" s="409">
        <f t="shared" ref="N220:N223" si="156">AVERAGE(J220/H220*100)</f>
        <v>142.85714285714286</v>
      </c>
      <c r="O220" s="427">
        <f>AVERAGE(L220/J220*100)</f>
        <v>100</v>
      </c>
    </row>
    <row r="221" spans="1:15" ht="13.8" x14ac:dyDescent="0.25">
      <c r="A221" s="445" t="s">
        <v>455</v>
      </c>
      <c r="B221" s="489"/>
      <c r="C221" s="401">
        <v>38</v>
      </c>
      <c r="D221" s="389" t="s">
        <v>80</v>
      </c>
      <c r="E221" s="386">
        <v>5000</v>
      </c>
      <c r="F221" s="386">
        <f t="shared" si="155"/>
        <v>5000</v>
      </c>
      <c r="G221" s="386">
        <f t="shared" si="155"/>
        <v>663.61404207313024</v>
      </c>
      <c r="H221" s="386">
        <f t="shared" si="155"/>
        <v>700</v>
      </c>
      <c r="I221" s="386">
        <f t="shared" si="155"/>
        <v>5274.1500000000005</v>
      </c>
      <c r="J221" s="386">
        <f t="shared" si="155"/>
        <v>1000</v>
      </c>
      <c r="K221" s="386">
        <f t="shared" si="155"/>
        <v>7534.5</v>
      </c>
      <c r="L221" s="386">
        <f t="shared" si="155"/>
        <v>1000</v>
      </c>
      <c r="M221" s="581">
        <f t="shared" si="155"/>
        <v>7534.5</v>
      </c>
      <c r="N221" s="409">
        <f t="shared" si="156"/>
        <v>142.85714285714286</v>
      </c>
      <c r="O221" s="427">
        <f>AVERAGE(L221/J221*100)</f>
        <v>100</v>
      </c>
    </row>
    <row r="222" spans="1:15" s="415" customFormat="1" ht="14.4" thickBot="1" x14ac:dyDescent="0.3">
      <c r="A222" s="381" t="s">
        <v>455</v>
      </c>
      <c r="B222" s="488"/>
      <c r="C222" s="399">
        <v>381</v>
      </c>
      <c r="D222" s="392" t="s">
        <v>37</v>
      </c>
      <c r="E222" s="387">
        <v>5000</v>
      </c>
      <c r="F222" s="387">
        <f t="shared" si="155"/>
        <v>5000</v>
      </c>
      <c r="G222" s="387">
        <f t="shared" si="155"/>
        <v>663.61404207313024</v>
      </c>
      <c r="H222" s="387">
        <f t="shared" si="155"/>
        <v>700</v>
      </c>
      <c r="I222" s="387">
        <f t="shared" si="155"/>
        <v>5274.1500000000005</v>
      </c>
      <c r="J222" s="387">
        <f t="shared" si="155"/>
        <v>1000</v>
      </c>
      <c r="K222" s="387">
        <f t="shared" si="155"/>
        <v>7534.5</v>
      </c>
      <c r="L222" s="387">
        <f t="shared" si="155"/>
        <v>1000</v>
      </c>
      <c r="M222" s="580">
        <f t="shared" si="155"/>
        <v>7534.5</v>
      </c>
      <c r="N222" s="409">
        <f t="shared" si="156"/>
        <v>142.85714285714286</v>
      </c>
      <c r="O222" s="427">
        <f>AVERAGE(L222/J222*100)</f>
        <v>100</v>
      </c>
    </row>
    <row r="223" spans="1:15" s="117" customFormat="1" ht="16.8" hidden="1" thickTop="1" thickBot="1" x14ac:dyDescent="0.35">
      <c r="A223" s="437" t="s">
        <v>455</v>
      </c>
      <c r="B223" s="490"/>
      <c r="C223" s="438">
        <v>3811</v>
      </c>
      <c r="D223" s="412" t="s">
        <v>85</v>
      </c>
      <c r="E223" s="413">
        <v>5000</v>
      </c>
      <c r="F223" s="413">
        <v>5000</v>
      </c>
      <c r="G223" s="413">
        <f>F223/7.5345</f>
        <v>663.61404207313024</v>
      </c>
      <c r="H223" s="413">
        <v>700</v>
      </c>
      <c r="I223" s="582">
        <f>H223*7.5345</f>
        <v>5274.1500000000005</v>
      </c>
      <c r="J223" s="413">
        <v>1000</v>
      </c>
      <c r="K223" s="582">
        <f>J223*7.5345</f>
        <v>7534.5</v>
      </c>
      <c r="L223" s="413">
        <v>1000</v>
      </c>
      <c r="M223" s="582">
        <f>L223*7.5345</f>
        <v>7534.5</v>
      </c>
      <c r="N223" s="479">
        <f t="shared" si="156"/>
        <v>142.85714285714286</v>
      </c>
      <c r="O223" s="480">
        <f>AVERAGE(L223/J223*100)</f>
        <v>100</v>
      </c>
    </row>
    <row r="224" spans="1:15" s="117" customFormat="1" ht="16.2" thickTop="1" x14ac:dyDescent="0.3">
      <c r="A224" s="771"/>
      <c r="B224" s="772"/>
      <c r="C224" s="773"/>
      <c r="D224" s="760" t="s">
        <v>214</v>
      </c>
      <c r="E224" s="774"/>
      <c r="F224" s="730"/>
      <c r="G224" s="730"/>
      <c r="H224" s="730"/>
      <c r="I224" s="761"/>
      <c r="J224" s="730"/>
      <c r="K224" s="761"/>
      <c r="L224" s="730"/>
      <c r="M224" s="761"/>
      <c r="N224" s="946">
        <f>AVERAGE(J226/H226*100)</f>
        <v>40</v>
      </c>
      <c r="O224" s="958">
        <f>AVERAGE(L226/J226*100)</f>
        <v>200</v>
      </c>
    </row>
    <row r="225" spans="1:15" s="29" customFormat="1" ht="13.8" x14ac:dyDescent="0.25">
      <c r="A225" s="771"/>
      <c r="B225" s="772"/>
      <c r="C225" s="773"/>
      <c r="D225" s="787" t="s">
        <v>670</v>
      </c>
      <c r="E225" s="728"/>
      <c r="F225" s="730"/>
      <c r="G225" s="730"/>
      <c r="H225" s="730"/>
      <c r="I225" s="761"/>
      <c r="J225" s="730"/>
      <c r="K225" s="761"/>
      <c r="L225" s="730"/>
      <c r="M225" s="761"/>
      <c r="N225" s="947"/>
      <c r="O225" s="959"/>
    </row>
    <row r="226" spans="1:15" ht="15.6" x14ac:dyDescent="0.3">
      <c r="A226" s="775"/>
      <c r="B226" s="776"/>
      <c r="C226" s="777"/>
      <c r="D226" s="788" t="s">
        <v>643</v>
      </c>
      <c r="E226" s="738">
        <v>20000</v>
      </c>
      <c r="F226" s="712">
        <f t="shared" ref="F226:M228" si="157">SUM(F227)</f>
        <v>20000</v>
      </c>
      <c r="G226" s="712">
        <f t="shared" si="157"/>
        <v>2654.4561682925209</v>
      </c>
      <c r="H226" s="712">
        <f t="shared" si="157"/>
        <v>5000</v>
      </c>
      <c r="I226" s="712">
        <f t="shared" si="157"/>
        <v>37672.5</v>
      </c>
      <c r="J226" s="712">
        <f t="shared" si="157"/>
        <v>2000</v>
      </c>
      <c r="K226" s="712">
        <f t="shared" si="157"/>
        <v>15069</v>
      </c>
      <c r="L226" s="712">
        <f t="shared" si="157"/>
        <v>4000</v>
      </c>
      <c r="M226" s="779">
        <f t="shared" si="157"/>
        <v>30138</v>
      </c>
      <c r="N226" s="947"/>
      <c r="O226" s="959"/>
    </row>
    <row r="227" spans="1:15" ht="13.8" x14ac:dyDescent="0.25">
      <c r="A227" s="766" t="s">
        <v>533</v>
      </c>
      <c r="B227" s="740"/>
      <c r="C227" s="741">
        <v>32</v>
      </c>
      <c r="D227" s="742" t="s">
        <v>180</v>
      </c>
      <c r="E227" s="743">
        <v>20000</v>
      </c>
      <c r="F227" s="743">
        <f t="shared" si="157"/>
        <v>20000</v>
      </c>
      <c r="G227" s="743">
        <f t="shared" si="157"/>
        <v>2654.4561682925209</v>
      </c>
      <c r="H227" s="743">
        <f t="shared" si="157"/>
        <v>5000</v>
      </c>
      <c r="I227" s="743">
        <f t="shared" si="157"/>
        <v>37672.5</v>
      </c>
      <c r="J227" s="743">
        <f t="shared" si="157"/>
        <v>2000</v>
      </c>
      <c r="K227" s="743">
        <f t="shared" si="157"/>
        <v>15069</v>
      </c>
      <c r="L227" s="743">
        <f t="shared" si="157"/>
        <v>4000</v>
      </c>
      <c r="M227" s="744">
        <f t="shared" si="157"/>
        <v>30138</v>
      </c>
      <c r="N227" s="768">
        <f t="shared" ref="N227:N229" si="158">AVERAGE(J227/H227*100)</f>
        <v>40</v>
      </c>
      <c r="O227" s="769">
        <f>AVERAGE(L227/J227*100)</f>
        <v>200</v>
      </c>
    </row>
    <row r="228" spans="1:15" ht="13.8" x14ac:dyDescent="0.25">
      <c r="A228" s="770" t="s">
        <v>533</v>
      </c>
      <c r="B228" s="745"/>
      <c r="C228" s="746">
        <v>322</v>
      </c>
      <c r="D228" s="734" t="s">
        <v>52</v>
      </c>
      <c r="E228" s="728">
        <v>20000</v>
      </c>
      <c r="F228" s="728">
        <f t="shared" si="157"/>
        <v>20000</v>
      </c>
      <c r="G228" s="728">
        <f t="shared" si="157"/>
        <v>2654.4561682925209</v>
      </c>
      <c r="H228" s="728">
        <f t="shared" si="157"/>
        <v>5000</v>
      </c>
      <c r="I228" s="728">
        <f t="shared" si="157"/>
        <v>37672.5</v>
      </c>
      <c r="J228" s="728">
        <f t="shared" si="157"/>
        <v>2000</v>
      </c>
      <c r="K228" s="728">
        <f t="shared" si="157"/>
        <v>15069</v>
      </c>
      <c r="L228" s="728">
        <f t="shared" si="157"/>
        <v>4000</v>
      </c>
      <c r="M228" s="735">
        <f t="shared" si="157"/>
        <v>30138</v>
      </c>
      <c r="N228" s="768">
        <f t="shared" si="158"/>
        <v>40</v>
      </c>
      <c r="O228" s="769">
        <f t="shared" ref="O228:O229" si="159">AVERAGE(L228/J228*100)</f>
        <v>200</v>
      </c>
    </row>
    <row r="229" spans="1:15" s="482" customFormat="1" ht="14.4" hidden="1" thickBot="1" x14ac:dyDescent="0.3">
      <c r="A229" s="785" t="s">
        <v>533</v>
      </c>
      <c r="B229" s="754"/>
      <c r="C229" s="755">
        <v>3227</v>
      </c>
      <c r="D229" s="756" t="s">
        <v>405</v>
      </c>
      <c r="E229" s="757">
        <v>20000</v>
      </c>
      <c r="F229" s="757">
        <v>20000</v>
      </c>
      <c r="G229" s="757">
        <f>F229/7.5345</f>
        <v>2654.4561682925209</v>
      </c>
      <c r="H229" s="757">
        <v>5000</v>
      </c>
      <c r="I229" s="758">
        <f>H229*7.5345</f>
        <v>37672.5</v>
      </c>
      <c r="J229" s="757">
        <v>2000</v>
      </c>
      <c r="K229" s="758">
        <f>J229*7.5345</f>
        <v>15069</v>
      </c>
      <c r="L229" s="757">
        <v>4000</v>
      </c>
      <c r="M229" s="758">
        <f>L229*7.5345</f>
        <v>30138</v>
      </c>
      <c r="N229" s="789">
        <f t="shared" si="158"/>
        <v>40</v>
      </c>
      <c r="O229" s="790">
        <f t="shared" si="159"/>
        <v>200</v>
      </c>
    </row>
    <row r="230" spans="1:15" ht="13.8" x14ac:dyDescent="0.25">
      <c r="A230" s="771"/>
      <c r="B230" s="772"/>
      <c r="C230" s="773"/>
      <c r="D230" s="760" t="s">
        <v>214</v>
      </c>
      <c r="E230" s="774"/>
      <c r="F230" s="730"/>
      <c r="G230" s="730"/>
      <c r="H230" s="730"/>
      <c r="I230" s="761"/>
      <c r="J230" s="730"/>
      <c r="K230" s="761"/>
      <c r="L230" s="730"/>
      <c r="M230" s="761"/>
      <c r="N230" s="762"/>
      <c r="O230" s="763"/>
    </row>
    <row r="231" spans="1:15" s="591" customFormat="1" ht="13.8" x14ac:dyDescent="0.25">
      <c r="A231" s="771"/>
      <c r="B231" s="772"/>
      <c r="C231" s="773"/>
      <c r="D231" s="787" t="s">
        <v>670</v>
      </c>
      <c r="E231" s="728"/>
      <c r="F231" s="730"/>
      <c r="G231" s="730"/>
      <c r="H231" s="730"/>
      <c r="I231" s="761"/>
      <c r="J231" s="730"/>
      <c r="K231" s="761"/>
      <c r="L231" s="730"/>
      <c r="M231" s="761"/>
      <c r="N231" s="762"/>
      <c r="O231" s="763"/>
    </row>
    <row r="232" spans="1:15" s="587" customFormat="1" ht="15.6" x14ac:dyDescent="0.3">
      <c r="A232" s="775"/>
      <c r="B232" s="776"/>
      <c r="C232" s="777"/>
      <c r="D232" s="975" t="s">
        <v>644</v>
      </c>
      <c r="E232" s="738"/>
      <c r="F232" s="794"/>
      <c r="G232" s="794"/>
      <c r="H232" s="794"/>
      <c r="I232" s="795"/>
      <c r="J232" s="794"/>
      <c r="K232" s="795"/>
      <c r="L232" s="794"/>
      <c r="M232" s="795"/>
      <c r="N232" s="796"/>
      <c r="O232" s="797"/>
    </row>
    <row r="233" spans="1:15" s="588" customFormat="1" ht="15.6" x14ac:dyDescent="0.3">
      <c r="A233" s="775"/>
      <c r="B233" s="776"/>
      <c r="C233" s="777"/>
      <c r="D233" s="976"/>
      <c r="E233" s="738">
        <v>45000</v>
      </c>
      <c r="F233" s="712">
        <f t="shared" ref="F233:M234" si="160">SUM(F234)</f>
        <v>25000</v>
      </c>
      <c r="G233" s="712">
        <f t="shared" si="160"/>
        <v>3318.0702103656513</v>
      </c>
      <c r="H233" s="712">
        <f t="shared" si="160"/>
        <v>4500</v>
      </c>
      <c r="I233" s="712">
        <f t="shared" si="160"/>
        <v>33905.25</v>
      </c>
      <c r="J233" s="712">
        <f t="shared" si="160"/>
        <v>4500</v>
      </c>
      <c r="K233" s="712">
        <f t="shared" si="160"/>
        <v>33905.25</v>
      </c>
      <c r="L233" s="712">
        <f t="shared" si="160"/>
        <v>4500</v>
      </c>
      <c r="M233" s="779">
        <f t="shared" si="160"/>
        <v>33905.25</v>
      </c>
      <c r="N233" s="768">
        <f t="shared" ref="N233:N237" si="161">AVERAGE(J233/H233*100)</f>
        <v>100</v>
      </c>
      <c r="O233" s="769">
        <f t="shared" ref="O233:O238" si="162">AVERAGE(L233/J233*100)</f>
        <v>100</v>
      </c>
    </row>
    <row r="234" spans="1:15" s="589" customFormat="1" ht="13.8" x14ac:dyDescent="0.25">
      <c r="A234" s="766" t="s">
        <v>534</v>
      </c>
      <c r="B234" s="740"/>
      <c r="C234" s="741">
        <v>32</v>
      </c>
      <c r="D234" s="742" t="s">
        <v>180</v>
      </c>
      <c r="E234" s="743">
        <v>45000</v>
      </c>
      <c r="F234" s="743">
        <f t="shared" si="160"/>
        <v>25000</v>
      </c>
      <c r="G234" s="743">
        <f t="shared" si="160"/>
        <v>3318.0702103656513</v>
      </c>
      <c r="H234" s="743">
        <f t="shared" si="160"/>
        <v>4500</v>
      </c>
      <c r="I234" s="743">
        <f t="shared" si="160"/>
        <v>33905.25</v>
      </c>
      <c r="J234" s="743">
        <f t="shared" si="160"/>
        <v>4500</v>
      </c>
      <c r="K234" s="743">
        <f t="shared" si="160"/>
        <v>33905.25</v>
      </c>
      <c r="L234" s="743">
        <f t="shared" si="160"/>
        <v>4500</v>
      </c>
      <c r="M234" s="744">
        <f t="shared" si="160"/>
        <v>33905.25</v>
      </c>
      <c r="N234" s="768">
        <f t="shared" si="161"/>
        <v>100</v>
      </c>
      <c r="O234" s="769">
        <f t="shared" si="162"/>
        <v>100</v>
      </c>
    </row>
    <row r="235" spans="1:15" s="589" customFormat="1" ht="14.4" thickBot="1" x14ac:dyDescent="0.3">
      <c r="A235" s="770" t="s">
        <v>534</v>
      </c>
      <c r="B235" s="745"/>
      <c r="C235" s="746">
        <v>323</v>
      </c>
      <c r="D235" s="734" t="s">
        <v>117</v>
      </c>
      <c r="E235" s="728">
        <v>45000</v>
      </c>
      <c r="F235" s="728">
        <f t="shared" ref="F235:G235" si="163">SUM(F236:F237)</f>
        <v>25000</v>
      </c>
      <c r="G235" s="728">
        <f t="shared" si="163"/>
        <v>3318.0702103656513</v>
      </c>
      <c r="H235" s="728">
        <f>SUM(H236+H237)</f>
        <v>4500</v>
      </c>
      <c r="I235" s="728">
        <f t="shared" ref="I235:L235" si="164">SUM(I236+I237)</f>
        <v>33905.25</v>
      </c>
      <c r="J235" s="728">
        <f t="shared" si="164"/>
        <v>4500</v>
      </c>
      <c r="K235" s="728">
        <f t="shared" si="164"/>
        <v>33905.25</v>
      </c>
      <c r="L235" s="728">
        <f t="shared" si="164"/>
        <v>4500</v>
      </c>
      <c r="M235" s="735">
        <f t="shared" ref="M235" si="165">SUM(M236:M237)</f>
        <v>33905.25</v>
      </c>
      <c r="N235" s="768">
        <f t="shared" si="161"/>
        <v>100</v>
      </c>
      <c r="O235" s="769">
        <f t="shared" si="162"/>
        <v>100</v>
      </c>
    </row>
    <row r="236" spans="1:15" s="590" customFormat="1" ht="13.8" hidden="1" x14ac:dyDescent="0.25">
      <c r="A236" s="770" t="s">
        <v>534</v>
      </c>
      <c r="B236" s="745"/>
      <c r="C236" s="746">
        <v>3237</v>
      </c>
      <c r="D236" s="734" t="s">
        <v>505</v>
      </c>
      <c r="E236" s="728">
        <v>15000</v>
      </c>
      <c r="F236" s="728">
        <v>15000</v>
      </c>
      <c r="G236" s="728">
        <f>F236/7.5345</f>
        <v>1990.8421262193906</v>
      </c>
      <c r="H236" s="728">
        <v>2500</v>
      </c>
      <c r="I236" s="735">
        <f>H236*7.5345</f>
        <v>18836.25</v>
      </c>
      <c r="J236" s="728">
        <v>2500</v>
      </c>
      <c r="K236" s="735">
        <f>J236*7.5345</f>
        <v>18836.25</v>
      </c>
      <c r="L236" s="728">
        <v>2500</v>
      </c>
      <c r="M236" s="735">
        <f>L236*7.5345</f>
        <v>18836.25</v>
      </c>
      <c r="N236" s="768">
        <f t="shared" si="161"/>
        <v>100</v>
      </c>
      <c r="O236" s="769">
        <f t="shared" si="162"/>
        <v>100</v>
      </c>
    </row>
    <row r="237" spans="1:15" s="589" customFormat="1" ht="14.4" hidden="1" thickBot="1" x14ac:dyDescent="0.3">
      <c r="A237" s="770" t="s">
        <v>534</v>
      </c>
      <c r="B237" s="748"/>
      <c r="C237" s="749">
        <v>3237</v>
      </c>
      <c r="D237" s="750" t="s">
        <v>62</v>
      </c>
      <c r="E237" s="751">
        <v>30000</v>
      </c>
      <c r="F237" s="751">
        <v>10000</v>
      </c>
      <c r="G237" s="728">
        <f>F237/7.5345</f>
        <v>1327.2280841462605</v>
      </c>
      <c r="H237" s="728">
        <v>2000</v>
      </c>
      <c r="I237" s="735">
        <f>H237*7.5345</f>
        <v>15069</v>
      </c>
      <c r="J237" s="728">
        <v>2000</v>
      </c>
      <c r="K237" s="735">
        <f>J237*7.5345</f>
        <v>15069</v>
      </c>
      <c r="L237" s="728">
        <v>2000</v>
      </c>
      <c r="M237" s="735">
        <f>L237*7.5345</f>
        <v>15069</v>
      </c>
      <c r="N237" s="768">
        <f t="shared" si="161"/>
        <v>100</v>
      </c>
      <c r="O237" s="769">
        <f t="shared" si="162"/>
        <v>100</v>
      </c>
    </row>
    <row r="238" spans="1:15" s="230" customFormat="1" ht="18" thickBot="1" x14ac:dyDescent="0.3">
      <c r="A238" s="939" t="s">
        <v>634</v>
      </c>
      <c r="B238" s="940"/>
      <c r="C238" s="940"/>
      <c r="D238" s="941"/>
      <c r="E238" s="593">
        <v>200000</v>
      </c>
      <c r="F238" s="593">
        <f t="shared" ref="F238:I238" si="166">SUM(F241)</f>
        <v>600000</v>
      </c>
      <c r="G238" s="593">
        <f t="shared" si="166"/>
        <v>79633.685048775631</v>
      </c>
      <c r="H238" s="593">
        <f t="shared" si="166"/>
        <v>90000</v>
      </c>
      <c r="I238" s="598">
        <f t="shared" si="166"/>
        <v>678105</v>
      </c>
      <c r="J238" s="593">
        <f t="shared" ref="J238:L238" si="167">SUM(J241)</f>
        <v>90000</v>
      </c>
      <c r="K238" s="598">
        <f t="shared" ref="K238:M238" si="168">SUM(K241)</f>
        <v>678105</v>
      </c>
      <c r="L238" s="593">
        <f t="shared" si="167"/>
        <v>90000</v>
      </c>
      <c r="M238" s="598">
        <f t="shared" si="168"/>
        <v>678105</v>
      </c>
      <c r="N238" s="600">
        <f>AVERAGE(J238/H238*100)</f>
        <v>100</v>
      </c>
      <c r="O238" s="601">
        <f t="shared" si="162"/>
        <v>100</v>
      </c>
    </row>
    <row r="239" spans="1:15" s="117" customFormat="1" ht="15.6" x14ac:dyDescent="0.3">
      <c r="A239" s="426"/>
      <c r="B239" s="42"/>
      <c r="C239" s="42"/>
      <c r="D239" s="421" t="s">
        <v>429</v>
      </c>
      <c r="E239" s="397">
        <v>200000</v>
      </c>
      <c r="F239" s="396"/>
      <c r="G239" s="396"/>
      <c r="H239" s="396"/>
      <c r="I239" s="577"/>
      <c r="J239" s="396"/>
      <c r="K239" s="577"/>
      <c r="L239" s="396"/>
      <c r="M239" s="577"/>
      <c r="N239" s="408"/>
      <c r="O239" s="435"/>
    </row>
    <row r="240" spans="1:15" s="29" customFormat="1" ht="13.8" x14ac:dyDescent="0.25">
      <c r="A240" s="426"/>
      <c r="B240" s="42"/>
      <c r="C240" s="42"/>
      <c r="D240" s="421" t="s">
        <v>681</v>
      </c>
      <c r="E240" s="387">
        <v>200000</v>
      </c>
      <c r="F240" s="396"/>
      <c r="G240" s="396"/>
      <c r="H240" s="396"/>
      <c r="I240" s="577"/>
      <c r="J240" s="396"/>
      <c r="K240" s="577"/>
      <c r="L240" s="396"/>
      <c r="M240" s="577"/>
      <c r="N240" s="408"/>
      <c r="O240" s="435"/>
    </row>
    <row r="241" spans="1:15" ht="15.6" x14ac:dyDescent="0.3">
      <c r="A241" s="458"/>
      <c r="B241" s="117"/>
      <c r="C241" s="117"/>
      <c r="D241" s="464" t="s">
        <v>468</v>
      </c>
      <c r="E241" s="459">
        <v>200000</v>
      </c>
      <c r="F241" s="457">
        <f t="shared" ref="F241:M243" si="169">SUM(F242)</f>
        <v>600000</v>
      </c>
      <c r="G241" s="457">
        <f t="shared" si="169"/>
        <v>79633.685048775631</v>
      </c>
      <c r="H241" s="712">
        <f t="shared" si="169"/>
        <v>90000</v>
      </c>
      <c r="I241" s="712">
        <f t="shared" si="169"/>
        <v>678105</v>
      </c>
      <c r="J241" s="712">
        <f t="shared" si="169"/>
        <v>90000</v>
      </c>
      <c r="K241" s="712">
        <f t="shared" si="169"/>
        <v>678105</v>
      </c>
      <c r="L241" s="712">
        <f t="shared" si="169"/>
        <v>90000</v>
      </c>
      <c r="M241" s="578">
        <f t="shared" si="169"/>
        <v>678105</v>
      </c>
      <c r="N241" s="409">
        <f t="shared" ref="N241:N244" si="170">AVERAGE(J241/H241*100)</f>
        <v>100</v>
      </c>
      <c r="O241" s="427">
        <f>AVERAGE(L241/J241*100)</f>
        <v>100</v>
      </c>
    </row>
    <row r="242" spans="1:15" ht="13.8" x14ac:dyDescent="0.25">
      <c r="A242" s="382" t="s">
        <v>456</v>
      </c>
      <c r="B242" s="388"/>
      <c r="C242" s="378">
        <v>38</v>
      </c>
      <c r="D242" s="389" t="s">
        <v>80</v>
      </c>
      <c r="E242" s="386">
        <v>200000</v>
      </c>
      <c r="F242" s="386">
        <f t="shared" si="169"/>
        <v>600000</v>
      </c>
      <c r="G242" s="386">
        <f t="shared" si="169"/>
        <v>79633.685048775631</v>
      </c>
      <c r="H242" s="743">
        <f t="shared" si="169"/>
        <v>90000</v>
      </c>
      <c r="I242" s="743">
        <f t="shared" si="169"/>
        <v>678105</v>
      </c>
      <c r="J242" s="743">
        <f t="shared" si="169"/>
        <v>90000</v>
      </c>
      <c r="K242" s="743">
        <f t="shared" si="169"/>
        <v>678105</v>
      </c>
      <c r="L242" s="743">
        <f t="shared" si="169"/>
        <v>90000</v>
      </c>
      <c r="M242" s="581">
        <f t="shared" si="169"/>
        <v>678105</v>
      </c>
      <c r="N242" s="409">
        <f t="shared" si="170"/>
        <v>100</v>
      </c>
      <c r="O242" s="427">
        <f>AVERAGE(L242/J242*100)</f>
        <v>100</v>
      </c>
    </row>
    <row r="243" spans="1:15" ht="14.4" thickBot="1" x14ac:dyDescent="0.3">
      <c r="A243" s="379" t="s">
        <v>456</v>
      </c>
      <c r="B243" s="390"/>
      <c r="C243" s="391">
        <v>381</v>
      </c>
      <c r="D243" s="392" t="s">
        <v>37</v>
      </c>
      <c r="E243" s="387">
        <v>200000</v>
      </c>
      <c r="F243" s="387">
        <f t="shared" si="169"/>
        <v>600000</v>
      </c>
      <c r="G243" s="387">
        <f t="shared" si="169"/>
        <v>79633.685048775631</v>
      </c>
      <c r="H243" s="728">
        <f t="shared" si="169"/>
        <v>90000</v>
      </c>
      <c r="I243" s="728">
        <f t="shared" si="169"/>
        <v>678105</v>
      </c>
      <c r="J243" s="728">
        <f t="shared" si="169"/>
        <v>90000</v>
      </c>
      <c r="K243" s="728">
        <f t="shared" si="169"/>
        <v>678105</v>
      </c>
      <c r="L243" s="728">
        <f t="shared" si="169"/>
        <v>90000</v>
      </c>
      <c r="M243" s="580">
        <f t="shared" si="169"/>
        <v>678105</v>
      </c>
      <c r="N243" s="409">
        <f t="shared" si="170"/>
        <v>100</v>
      </c>
      <c r="O243" s="427">
        <f>AVERAGE(L243/J243*100)</f>
        <v>100</v>
      </c>
    </row>
    <row r="244" spans="1:15" s="415" customFormat="1" ht="14.4" hidden="1" thickBot="1" x14ac:dyDescent="0.3">
      <c r="A244" s="379" t="s">
        <v>456</v>
      </c>
      <c r="B244" s="495"/>
      <c r="C244" s="424">
        <v>3811</v>
      </c>
      <c r="D244" s="394" t="s">
        <v>84</v>
      </c>
      <c r="E244" s="385">
        <v>200000</v>
      </c>
      <c r="F244" s="385">
        <v>600000</v>
      </c>
      <c r="G244" s="387">
        <f>F244/7.5345</f>
        <v>79633.685048775631</v>
      </c>
      <c r="H244" s="728">
        <v>90000</v>
      </c>
      <c r="I244" s="580">
        <f>H244*7.5345</f>
        <v>678105</v>
      </c>
      <c r="J244" s="387">
        <v>90000</v>
      </c>
      <c r="K244" s="580">
        <f>J244*7.5345</f>
        <v>678105</v>
      </c>
      <c r="L244" s="387">
        <v>90000</v>
      </c>
      <c r="M244" s="580">
        <f>L244*7.5345</f>
        <v>678105</v>
      </c>
      <c r="N244" s="409">
        <f t="shared" si="170"/>
        <v>100</v>
      </c>
      <c r="O244" s="427">
        <f>AVERAGE(L244/J244*100)</f>
        <v>100</v>
      </c>
    </row>
    <row r="245" spans="1:15" s="117" customFormat="1" ht="18" thickBot="1" x14ac:dyDescent="0.35">
      <c r="A245" s="939" t="s">
        <v>635</v>
      </c>
      <c r="B245" s="940"/>
      <c r="C245" s="940"/>
      <c r="D245" s="941"/>
      <c r="E245" s="593">
        <f t="shared" ref="E245:H245" si="171">SUM(E248+E254)</f>
        <v>45000</v>
      </c>
      <c r="F245" s="593">
        <f t="shared" si="171"/>
        <v>127000</v>
      </c>
      <c r="G245" s="593">
        <f t="shared" si="171"/>
        <v>16855.796668657509</v>
      </c>
      <c r="H245" s="593">
        <f t="shared" si="171"/>
        <v>29500</v>
      </c>
      <c r="I245" s="598">
        <f t="shared" ref="I245:K245" si="172">SUM(I248+I254)</f>
        <v>222267.75</v>
      </c>
      <c r="J245" s="593">
        <f t="shared" ref="J245:M245" si="173">SUM(J248+J254)</f>
        <v>32000</v>
      </c>
      <c r="K245" s="598">
        <f t="shared" si="172"/>
        <v>241104</v>
      </c>
      <c r="L245" s="593">
        <f t="shared" si="173"/>
        <v>34000</v>
      </c>
      <c r="M245" s="598">
        <f t="shared" si="173"/>
        <v>256173</v>
      </c>
      <c r="N245" s="600">
        <f>AVERAGE(J245/H245*100)</f>
        <v>108.47457627118644</v>
      </c>
      <c r="O245" s="601">
        <f>AVERAGE(L245/J245*100)</f>
        <v>106.25</v>
      </c>
    </row>
    <row r="246" spans="1:15" s="29" customFormat="1" ht="13.8" x14ac:dyDescent="0.25">
      <c r="A246" s="426"/>
      <c r="B246" s="42"/>
      <c r="C246" s="42"/>
      <c r="D246" s="421" t="s">
        <v>227</v>
      </c>
      <c r="E246" s="397"/>
      <c r="F246" s="396"/>
      <c r="G246" s="396"/>
      <c r="H246" s="396"/>
      <c r="I246" s="577"/>
      <c r="J246" s="396"/>
      <c r="K246" s="577"/>
      <c r="L246" s="396"/>
      <c r="M246" s="577"/>
      <c r="N246" s="942">
        <f>AVERAGE(J248/H248*100)</f>
        <v>114.28571428571428</v>
      </c>
      <c r="O246" s="944">
        <v>100</v>
      </c>
    </row>
    <row r="247" spans="1:15" ht="13.8" x14ac:dyDescent="0.25">
      <c r="A247" s="426"/>
      <c r="B247" s="42"/>
      <c r="C247" s="42"/>
      <c r="D247" s="420" t="s">
        <v>670</v>
      </c>
      <c r="E247" s="387"/>
      <c r="F247" s="396"/>
      <c r="G247" s="396"/>
      <c r="H247" s="396"/>
      <c r="I247" s="577"/>
      <c r="J247" s="396"/>
      <c r="K247" s="577"/>
      <c r="L247" s="396"/>
      <c r="M247" s="577"/>
      <c r="N247" s="943"/>
      <c r="O247" s="945"/>
    </row>
    <row r="248" spans="1:15" ht="15.6" x14ac:dyDescent="0.3">
      <c r="A248" s="458"/>
      <c r="B248" s="117"/>
      <c r="C248" s="117"/>
      <c r="D248" s="464" t="s">
        <v>431</v>
      </c>
      <c r="E248" s="459">
        <v>20000</v>
      </c>
      <c r="F248" s="457">
        <f t="shared" ref="F248:M250" si="174">SUM(F249)</f>
        <v>25000</v>
      </c>
      <c r="G248" s="457">
        <f t="shared" si="174"/>
        <v>3318.0702103656513</v>
      </c>
      <c r="H248" s="457">
        <f t="shared" si="174"/>
        <v>3500</v>
      </c>
      <c r="I248" s="457">
        <f t="shared" si="174"/>
        <v>26370.75</v>
      </c>
      <c r="J248" s="457">
        <f t="shared" si="174"/>
        <v>4000</v>
      </c>
      <c r="K248" s="457">
        <f t="shared" si="174"/>
        <v>30138</v>
      </c>
      <c r="L248" s="457">
        <f t="shared" si="174"/>
        <v>5000</v>
      </c>
      <c r="M248" s="578">
        <f t="shared" si="174"/>
        <v>37672.5</v>
      </c>
      <c r="N248" s="943"/>
      <c r="O248" s="945"/>
    </row>
    <row r="249" spans="1:15" ht="15" thickTop="1" thickBot="1" x14ac:dyDescent="0.3">
      <c r="A249" s="382" t="s">
        <v>457</v>
      </c>
      <c r="B249" s="388"/>
      <c r="C249" s="378">
        <v>38</v>
      </c>
      <c r="D249" s="389" t="s">
        <v>80</v>
      </c>
      <c r="E249" s="386">
        <v>20000</v>
      </c>
      <c r="F249" s="386">
        <f t="shared" si="174"/>
        <v>25000</v>
      </c>
      <c r="G249" s="386">
        <f t="shared" si="174"/>
        <v>3318.0702103656513</v>
      </c>
      <c r="H249" s="386">
        <f t="shared" si="174"/>
        <v>3500</v>
      </c>
      <c r="I249" s="386">
        <f t="shared" si="174"/>
        <v>26370.75</v>
      </c>
      <c r="J249" s="386">
        <f t="shared" si="174"/>
        <v>4000</v>
      </c>
      <c r="K249" s="386">
        <f t="shared" si="174"/>
        <v>30138</v>
      </c>
      <c r="L249" s="386">
        <f t="shared" si="174"/>
        <v>5000</v>
      </c>
      <c r="M249" s="581">
        <f t="shared" si="174"/>
        <v>37672.5</v>
      </c>
      <c r="N249" s="409">
        <f t="shared" ref="N249:N251" si="175">AVERAGE(J249/H249*100)</f>
        <v>114.28571428571428</v>
      </c>
      <c r="O249" s="427">
        <f>AVERAGE(L249/J249*100)</f>
        <v>125</v>
      </c>
    </row>
    <row r="250" spans="1:15" ht="14.4" thickBot="1" x14ac:dyDescent="0.3">
      <c r="A250" s="379" t="s">
        <v>457</v>
      </c>
      <c r="B250" s="488"/>
      <c r="C250" s="391">
        <v>381</v>
      </c>
      <c r="D250" s="392" t="s">
        <v>37</v>
      </c>
      <c r="E250" s="387">
        <v>20000</v>
      </c>
      <c r="F250" s="387">
        <f t="shared" si="174"/>
        <v>25000</v>
      </c>
      <c r="G250" s="387">
        <f t="shared" si="174"/>
        <v>3318.0702103656513</v>
      </c>
      <c r="H250" s="387">
        <f t="shared" si="174"/>
        <v>3500</v>
      </c>
      <c r="I250" s="387">
        <f t="shared" si="174"/>
        <v>26370.75</v>
      </c>
      <c r="J250" s="387">
        <f t="shared" si="174"/>
        <v>4000</v>
      </c>
      <c r="K250" s="387">
        <f t="shared" si="174"/>
        <v>30138</v>
      </c>
      <c r="L250" s="387">
        <f t="shared" si="174"/>
        <v>5000</v>
      </c>
      <c r="M250" s="580">
        <f t="shared" si="174"/>
        <v>37672.5</v>
      </c>
      <c r="N250" s="409">
        <f t="shared" si="175"/>
        <v>114.28571428571428</v>
      </c>
      <c r="O250" s="427">
        <f t="shared" ref="O250:O251" si="176">AVERAGE(L250/J250*100)</f>
        <v>125</v>
      </c>
    </row>
    <row r="251" spans="1:15" ht="14.4" hidden="1" thickBot="1" x14ac:dyDescent="0.3">
      <c r="A251" s="432" t="s">
        <v>457</v>
      </c>
      <c r="B251" s="490"/>
      <c r="C251" s="411">
        <v>3811</v>
      </c>
      <c r="D251" s="412" t="s">
        <v>85</v>
      </c>
      <c r="E251" s="413">
        <v>20000</v>
      </c>
      <c r="F251" s="413">
        <v>25000</v>
      </c>
      <c r="G251" s="413">
        <f>F251/7.5345</f>
        <v>3318.0702103656513</v>
      </c>
      <c r="H251" s="413">
        <v>3500</v>
      </c>
      <c r="I251" s="582">
        <f>H251*7.5345</f>
        <v>26370.75</v>
      </c>
      <c r="J251" s="413">
        <v>4000</v>
      </c>
      <c r="K251" s="582">
        <f>J251*7.5345</f>
        <v>30138</v>
      </c>
      <c r="L251" s="413">
        <v>5000</v>
      </c>
      <c r="M251" s="582">
        <f>L251*7.5345</f>
        <v>37672.5</v>
      </c>
      <c r="N251" s="479">
        <f t="shared" si="175"/>
        <v>114.28571428571428</v>
      </c>
      <c r="O251" s="480">
        <f t="shared" si="176"/>
        <v>125</v>
      </c>
    </row>
    <row r="252" spans="1:15" ht="13.8" x14ac:dyDescent="0.25">
      <c r="A252" s="426"/>
      <c r="B252" s="493"/>
      <c r="C252" s="42"/>
      <c r="D252" s="421" t="s">
        <v>227</v>
      </c>
      <c r="E252" s="397"/>
      <c r="F252" s="396"/>
      <c r="G252" s="396"/>
      <c r="H252" s="396"/>
      <c r="I252" s="577"/>
      <c r="J252" s="396"/>
      <c r="K252" s="577"/>
      <c r="L252" s="396"/>
      <c r="M252" s="577"/>
      <c r="N252" s="942">
        <f>AVERAGE(J254/H254*100)</f>
        <v>107.69230769230769</v>
      </c>
      <c r="O252" s="944">
        <f>AVERAGE(L254/J254*100)</f>
        <v>103.57142857142858</v>
      </c>
    </row>
    <row r="253" spans="1:15" s="482" customFormat="1" ht="13.8" x14ac:dyDescent="0.25">
      <c r="A253" s="426"/>
      <c r="B253" s="493"/>
      <c r="C253" s="42"/>
      <c r="D253" s="420" t="s">
        <v>677</v>
      </c>
      <c r="E253" s="387"/>
      <c r="F253" s="396"/>
      <c r="G253" s="396"/>
      <c r="H253" s="396"/>
      <c r="I253" s="577"/>
      <c r="J253" s="396"/>
      <c r="K253" s="577"/>
      <c r="L253" s="396"/>
      <c r="M253" s="577"/>
      <c r="N253" s="943"/>
      <c r="O253" s="945"/>
    </row>
    <row r="254" spans="1:15" ht="15.6" x14ac:dyDescent="0.3">
      <c r="A254" s="775"/>
      <c r="B254" s="793"/>
      <c r="C254" s="777"/>
      <c r="D254" s="729" t="s">
        <v>430</v>
      </c>
      <c r="E254" s="459">
        <v>25000</v>
      </c>
      <c r="F254" s="457">
        <f t="shared" ref="F254:M254" si="177">SUM(F255)</f>
        <v>102000</v>
      </c>
      <c r="G254" s="457">
        <f t="shared" si="177"/>
        <v>13537.726458291856</v>
      </c>
      <c r="H254" s="457">
        <f t="shared" si="177"/>
        <v>26000</v>
      </c>
      <c r="I254" s="457">
        <f t="shared" si="177"/>
        <v>195897</v>
      </c>
      <c r="J254" s="457">
        <f t="shared" si="177"/>
        <v>28000</v>
      </c>
      <c r="K254" s="457">
        <f t="shared" si="177"/>
        <v>210966</v>
      </c>
      <c r="L254" s="457">
        <f t="shared" si="177"/>
        <v>29000</v>
      </c>
      <c r="M254" s="578">
        <f t="shared" si="177"/>
        <v>218500.5</v>
      </c>
      <c r="N254" s="943"/>
      <c r="O254" s="945"/>
    </row>
    <row r="255" spans="1:15" s="230" customFormat="1" ht="13.8" x14ac:dyDescent="0.25">
      <c r="A255" s="382" t="s">
        <v>535</v>
      </c>
      <c r="B255" s="489"/>
      <c r="C255" s="378">
        <v>32</v>
      </c>
      <c r="D255" s="389" t="s">
        <v>180</v>
      </c>
      <c r="E255" s="386">
        <v>25000</v>
      </c>
      <c r="F255" s="386">
        <f t="shared" ref="F255:L255" si="178">SUM(F256+F259)</f>
        <v>102000</v>
      </c>
      <c r="G255" s="386">
        <f t="shared" si="178"/>
        <v>13537.726458291856</v>
      </c>
      <c r="H255" s="386">
        <f t="shared" si="178"/>
        <v>26000</v>
      </c>
      <c r="I255" s="386">
        <f t="shared" si="178"/>
        <v>195897</v>
      </c>
      <c r="J255" s="386">
        <f t="shared" si="178"/>
        <v>28000</v>
      </c>
      <c r="K255" s="386">
        <f t="shared" si="178"/>
        <v>210966</v>
      </c>
      <c r="L255" s="386">
        <f t="shared" si="178"/>
        <v>29000</v>
      </c>
      <c r="M255" s="581">
        <f t="shared" ref="M255" si="179">SUM(M256+M259)</f>
        <v>218500.5</v>
      </c>
      <c r="N255" s="409">
        <f t="shared" ref="N255:N261" si="180">AVERAGE(J255/H255*100)</f>
        <v>107.69230769230769</v>
      </c>
      <c r="O255" s="427">
        <f>AVERAGE(L255/J255*100)</f>
        <v>103.57142857142858</v>
      </c>
    </row>
    <row r="256" spans="1:15" s="117" customFormat="1" ht="15.6" x14ac:dyDescent="0.3">
      <c r="A256" s="379" t="s">
        <v>535</v>
      </c>
      <c r="B256" s="488"/>
      <c r="C256" s="391">
        <v>323</v>
      </c>
      <c r="D256" s="392" t="s">
        <v>56</v>
      </c>
      <c r="E256" s="387">
        <v>8000</v>
      </c>
      <c r="F256" s="387">
        <f t="shared" ref="F256:L256" si="181">SUM(F257:F258)</f>
        <v>90000</v>
      </c>
      <c r="G256" s="387">
        <f t="shared" si="181"/>
        <v>11945.052757316344</v>
      </c>
      <c r="H256" s="387">
        <f t="shared" si="181"/>
        <v>20000</v>
      </c>
      <c r="I256" s="387">
        <f t="shared" si="181"/>
        <v>150690</v>
      </c>
      <c r="J256" s="387">
        <f t="shared" si="181"/>
        <v>21000</v>
      </c>
      <c r="K256" s="387">
        <f t="shared" si="181"/>
        <v>158224.5</v>
      </c>
      <c r="L256" s="387">
        <f t="shared" si="181"/>
        <v>22000</v>
      </c>
      <c r="M256" s="580">
        <f t="shared" ref="M256" si="182">SUM(M257:M258)</f>
        <v>165759</v>
      </c>
      <c r="N256" s="409">
        <f t="shared" si="180"/>
        <v>105</v>
      </c>
      <c r="O256" s="427">
        <f t="shared" ref="O256:O261" si="183">AVERAGE(L256/J256*100)</f>
        <v>104.76190476190477</v>
      </c>
    </row>
    <row r="257" spans="1:15" s="231" customFormat="1" ht="13.8" hidden="1" x14ac:dyDescent="0.25">
      <c r="A257" s="379" t="s">
        <v>535</v>
      </c>
      <c r="B257" s="488"/>
      <c r="C257" s="391">
        <v>3233</v>
      </c>
      <c r="D257" s="392" t="s">
        <v>59</v>
      </c>
      <c r="E257" s="387">
        <v>5000</v>
      </c>
      <c r="F257" s="387">
        <v>10000</v>
      </c>
      <c r="G257" s="387">
        <f>F257/7.5345</f>
        <v>1327.2280841462605</v>
      </c>
      <c r="H257" s="387">
        <v>15000</v>
      </c>
      <c r="I257" s="580">
        <f>H257*7.5345</f>
        <v>113017.5</v>
      </c>
      <c r="J257" s="387">
        <v>15000</v>
      </c>
      <c r="K257" s="580">
        <f>J257*7.5345</f>
        <v>113017.5</v>
      </c>
      <c r="L257" s="387">
        <v>15000</v>
      </c>
      <c r="M257" s="580">
        <f>L257*7.5345</f>
        <v>113017.5</v>
      </c>
      <c r="N257" s="409">
        <f t="shared" si="180"/>
        <v>100</v>
      </c>
      <c r="O257" s="427">
        <f t="shared" si="183"/>
        <v>100</v>
      </c>
    </row>
    <row r="258" spans="1:15" ht="13.8" hidden="1" x14ac:dyDescent="0.25">
      <c r="A258" s="379" t="s">
        <v>535</v>
      </c>
      <c r="B258" s="488"/>
      <c r="C258" s="391">
        <v>3239</v>
      </c>
      <c r="D258" s="392" t="s">
        <v>64</v>
      </c>
      <c r="E258" s="387">
        <v>3000</v>
      </c>
      <c r="F258" s="387">
        <v>80000</v>
      </c>
      <c r="G258" s="387">
        <f>F258/7.5345</f>
        <v>10617.824673170084</v>
      </c>
      <c r="H258" s="387">
        <v>5000</v>
      </c>
      <c r="I258" s="580">
        <f>H258*7.5345</f>
        <v>37672.5</v>
      </c>
      <c r="J258" s="387">
        <v>6000</v>
      </c>
      <c r="K258" s="580">
        <f>J258*7.5345</f>
        <v>45207</v>
      </c>
      <c r="L258" s="387">
        <v>7000</v>
      </c>
      <c r="M258" s="580">
        <f>L258*7.5345</f>
        <v>52741.5</v>
      </c>
      <c r="N258" s="409">
        <f t="shared" si="180"/>
        <v>120</v>
      </c>
      <c r="O258" s="427">
        <f t="shared" si="183"/>
        <v>116.66666666666667</v>
      </c>
    </row>
    <row r="259" spans="1:15" ht="14.4" thickBot="1" x14ac:dyDescent="0.3">
      <c r="A259" s="379" t="s">
        <v>535</v>
      </c>
      <c r="B259" s="488"/>
      <c r="C259" s="391">
        <v>329</v>
      </c>
      <c r="D259" s="392" t="s">
        <v>65</v>
      </c>
      <c r="E259" s="387">
        <v>17000</v>
      </c>
      <c r="F259" s="387">
        <f t="shared" ref="F259:G259" si="184">SUM(F260:F261)</f>
        <v>12000</v>
      </c>
      <c r="G259" s="387">
        <f t="shared" si="184"/>
        <v>1592.6737009755125</v>
      </c>
      <c r="H259" s="387">
        <f>SUM(H260+H261)</f>
        <v>6000</v>
      </c>
      <c r="I259" s="387">
        <f t="shared" ref="I259:L259" si="185">SUM(I260+I261)</f>
        <v>45207</v>
      </c>
      <c r="J259" s="387">
        <f t="shared" si="185"/>
        <v>7000</v>
      </c>
      <c r="K259" s="387">
        <f t="shared" si="185"/>
        <v>52741.5</v>
      </c>
      <c r="L259" s="387">
        <f t="shared" si="185"/>
        <v>7000</v>
      </c>
      <c r="M259" s="580">
        <f t="shared" ref="M259" si="186">SUM(M260:M261)</f>
        <v>52741.5</v>
      </c>
      <c r="N259" s="409">
        <f t="shared" si="180"/>
        <v>116.66666666666667</v>
      </c>
      <c r="O259" s="427">
        <f t="shared" si="183"/>
        <v>100</v>
      </c>
    </row>
    <row r="260" spans="1:15" ht="13.8" hidden="1" x14ac:dyDescent="0.25">
      <c r="A260" s="379" t="s">
        <v>535</v>
      </c>
      <c r="B260" s="488"/>
      <c r="C260" s="391">
        <v>3293</v>
      </c>
      <c r="D260" s="392" t="s">
        <v>68</v>
      </c>
      <c r="E260" s="387">
        <v>15000</v>
      </c>
      <c r="F260" s="387">
        <v>10000</v>
      </c>
      <c r="G260" s="387">
        <f>F260/7.5345</f>
        <v>1327.2280841462605</v>
      </c>
      <c r="H260" s="387">
        <v>5000</v>
      </c>
      <c r="I260" s="580">
        <f>H260*7.5345</f>
        <v>37672.5</v>
      </c>
      <c r="J260" s="387">
        <v>6000</v>
      </c>
      <c r="K260" s="580">
        <f>J260*7.5345</f>
        <v>45207</v>
      </c>
      <c r="L260" s="387">
        <v>6000</v>
      </c>
      <c r="M260" s="580">
        <f>L260*7.5345</f>
        <v>45207</v>
      </c>
      <c r="N260" s="409">
        <f t="shared" si="180"/>
        <v>120</v>
      </c>
      <c r="O260" s="427">
        <f t="shared" si="183"/>
        <v>100</v>
      </c>
    </row>
    <row r="261" spans="1:15" ht="14.4" hidden="1" thickBot="1" x14ac:dyDescent="0.3">
      <c r="A261" s="379" t="s">
        <v>535</v>
      </c>
      <c r="B261" s="495"/>
      <c r="C261" s="424">
        <v>3299</v>
      </c>
      <c r="D261" s="394" t="s">
        <v>231</v>
      </c>
      <c r="E261" s="385">
        <v>2000</v>
      </c>
      <c r="F261" s="385">
        <v>2000</v>
      </c>
      <c r="G261" s="387">
        <f>F261/7.5345</f>
        <v>265.44561682925212</v>
      </c>
      <c r="H261" s="387">
        <v>1000</v>
      </c>
      <c r="I261" s="580">
        <f>H261*7.5345</f>
        <v>7534.5</v>
      </c>
      <c r="J261" s="387">
        <v>1000</v>
      </c>
      <c r="K261" s="580">
        <f>J261*7.5345</f>
        <v>7534.5</v>
      </c>
      <c r="L261" s="387">
        <v>1000</v>
      </c>
      <c r="M261" s="580">
        <f>L261*7.5345</f>
        <v>7534.5</v>
      </c>
      <c r="N261" s="409">
        <f t="shared" si="180"/>
        <v>100</v>
      </c>
      <c r="O261" s="427">
        <f t="shared" si="183"/>
        <v>100</v>
      </c>
    </row>
    <row r="262" spans="1:15" s="482" customFormat="1" ht="18" thickBot="1" x14ac:dyDescent="0.3">
      <c r="A262" s="939" t="s">
        <v>636</v>
      </c>
      <c r="B262" s="940"/>
      <c r="C262" s="940"/>
      <c r="D262" s="941"/>
      <c r="E262" s="593">
        <v>70000</v>
      </c>
      <c r="F262" s="593">
        <f t="shared" ref="F262:I262" si="187">SUM(F265)</f>
        <v>45000</v>
      </c>
      <c r="G262" s="593">
        <f t="shared" si="187"/>
        <v>5972.5263786581727</v>
      </c>
      <c r="H262" s="593">
        <f t="shared" si="187"/>
        <v>23000</v>
      </c>
      <c r="I262" s="598">
        <f t="shared" si="187"/>
        <v>173293.5</v>
      </c>
      <c r="J262" s="593">
        <f t="shared" ref="J262:L262" si="188">SUM(J265)</f>
        <v>7000</v>
      </c>
      <c r="K262" s="598">
        <f t="shared" ref="K262:M262" si="189">SUM(K265)</f>
        <v>52741.5</v>
      </c>
      <c r="L262" s="593">
        <f t="shared" si="188"/>
        <v>8000</v>
      </c>
      <c r="M262" s="598">
        <f t="shared" si="189"/>
        <v>60276</v>
      </c>
      <c r="N262" s="600">
        <f>AVERAGE(J262/H262*100)</f>
        <v>30.434782608695656</v>
      </c>
      <c r="O262" s="601">
        <f>AVERAGE(L262/J262*100)</f>
        <v>114.28571428571428</v>
      </c>
    </row>
    <row r="263" spans="1:15" ht="13.8" x14ac:dyDescent="0.25">
      <c r="A263" s="426"/>
      <c r="B263" s="42"/>
      <c r="C263" s="42"/>
      <c r="D263" s="421" t="s">
        <v>234</v>
      </c>
      <c r="E263" s="397"/>
      <c r="F263" s="396"/>
      <c r="G263" s="396"/>
      <c r="H263" s="396"/>
      <c r="I263" s="577"/>
      <c r="J263" s="396"/>
      <c r="K263" s="577"/>
      <c r="L263" s="396"/>
      <c r="M263" s="577"/>
      <c r="N263" s="942">
        <f>AVERAGE(J265/H265*100)</f>
        <v>30.434782608695656</v>
      </c>
      <c r="O263" s="944">
        <f>AVERAGE(L265/J265*100)</f>
        <v>114.28571428571428</v>
      </c>
    </row>
    <row r="264" spans="1:15" s="230" customFormat="1" ht="13.8" x14ac:dyDescent="0.25">
      <c r="A264" s="426"/>
      <c r="B264" s="42"/>
      <c r="C264" s="42"/>
      <c r="D264" s="422" t="s">
        <v>670</v>
      </c>
      <c r="E264" s="387"/>
      <c r="F264" s="396"/>
      <c r="G264" s="396"/>
      <c r="H264" s="396"/>
      <c r="I264" s="577"/>
      <c r="J264" s="396"/>
      <c r="K264" s="577"/>
      <c r="L264" s="396"/>
      <c r="M264" s="577"/>
      <c r="N264" s="943"/>
      <c r="O264" s="945"/>
    </row>
    <row r="265" spans="1:15" s="117" customFormat="1" ht="15.6" x14ac:dyDescent="0.3">
      <c r="A265" s="458"/>
      <c r="D265" s="729" t="s">
        <v>433</v>
      </c>
      <c r="E265" s="459">
        <v>70000</v>
      </c>
      <c r="F265" s="457">
        <f t="shared" ref="F265:M265" si="190">SUM(F266)</f>
        <v>45000</v>
      </c>
      <c r="G265" s="457">
        <f t="shared" si="190"/>
        <v>5972.5263786581727</v>
      </c>
      <c r="H265" s="457">
        <f t="shared" si="190"/>
        <v>23000</v>
      </c>
      <c r="I265" s="457">
        <f t="shared" si="190"/>
        <v>173293.5</v>
      </c>
      <c r="J265" s="457">
        <f t="shared" si="190"/>
        <v>7000</v>
      </c>
      <c r="K265" s="457">
        <f t="shared" si="190"/>
        <v>52741.5</v>
      </c>
      <c r="L265" s="457">
        <f t="shared" si="190"/>
        <v>8000</v>
      </c>
      <c r="M265" s="578">
        <f t="shared" si="190"/>
        <v>60276</v>
      </c>
      <c r="N265" s="943"/>
      <c r="O265" s="945"/>
    </row>
    <row r="266" spans="1:15" s="29" customFormat="1" ht="13.8" x14ac:dyDescent="0.25">
      <c r="A266" s="382" t="s">
        <v>458</v>
      </c>
      <c r="B266" s="489"/>
      <c r="C266" s="378">
        <v>38</v>
      </c>
      <c r="D266" s="389" t="s">
        <v>80</v>
      </c>
      <c r="E266" s="386">
        <v>70000</v>
      </c>
      <c r="F266" s="386">
        <f t="shared" ref="F266:L266" si="191">SUM(F267+F269)</f>
        <v>45000</v>
      </c>
      <c r="G266" s="386">
        <f t="shared" si="191"/>
        <v>5972.5263786581727</v>
      </c>
      <c r="H266" s="386">
        <f t="shared" si="191"/>
        <v>23000</v>
      </c>
      <c r="I266" s="386">
        <f t="shared" si="191"/>
        <v>173293.5</v>
      </c>
      <c r="J266" s="386">
        <f t="shared" si="191"/>
        <v>7000</v>
      </c>
      <c r="K266" s="386">
        <f t="shared" si="191"/>
        <v>52741.5</v>
      </c>
      <c r="L266" s="386">
        <f t="shared" si="191"/>
        <v>8000</v>
      </c>
      <c r="M266" s="581">
        <f t="shared" ref="M266" si="192">SUM(M267+M269)</f>
        <v>60276</v>
      </c>
      <c r="N266" s="409">
        <f t="shared" ref="N266:N270" si="193">AVERAGE(J266/H266*100)</f>
        <v>30.434782608695656</v>
      </c>
      <c r="O266" s="427">
        <f>AVERAGE(L266/J266*100)</f>
        <v>114.28571428571428</v>
      </c>
    </row>
    <row r="267" spans="1:15" ht="13.8" x14ac:dyDescent="0.25">
      <c r="A267" s="379" t="s">
        <v>458</v>
      </c>
      <c r="B267" s="488"/>
      <c r="C267" s="391">
        <v>381</v>
      </c>
      <c r="D267" s="392" t="s">
        <v>37</v>
      </c>
      <c r="E267" s="387">
        <v>50000</v>
      </c>
      <c r="F267" s="387">
        <f t="shared" ref="F267:M267" si="194">SUM(F268)</f>
        <v>20000</v>
      </c>
      <c r="G267" s="387">
        <f t="shared" si="194"/>
        <v>2654.4561682925209</v>
      </c>
      <c r="H267" s="387">
        <f t="shared" si="194"/>
        <v>3000</v>
      </c>
      <c r="I267" s="387">
        <f t="shared" si="194"/>
        <v>22603.5</v>
      </c>
      <c r="J267" s="387">
        <f t="shared" si="194"/>
        <v>3000</v>
      </c>
      <c r="K267" s="387">
        <f t="shared" si="194"/>
        <v>22603.5</v>
      </c>
      <c r="L267" s="387">
        <f t="shared" si="194"/>
        <v>3000</v>
      </c>
      <c r="M267" s="580">
        <f t="shared" si="194"/>
        <v>22603.5</v>
      </c>
      <c r="N267" s="409">
        <f t="shared" si="193"/>
        <v>100</v>
      </c>
      <c r="O267" s="427">
        <f t="shared" ref="O267:O270" si="195">AVERAGE(L267/J267*100)</f>
        <v>100</v>
      </c>
    </row>
    <row r="268" spans="1:15" ht="13.8" hidden="1" x14ac:dyDescent="0.25">
      <c r="A268" s="379" t="s">
        <v>458</v>
      </c>
      <c r="B268" s="488"/>
      <c r="C268" s="391">
        <v>3811</v>
      </c>
      <c r="D268" s="392" t="s">
        <v>82</v>
      </c>
      <c r="E268" s="387">
        <v>50000</v>
      </c>
      <c r="F268" s="387">
        <v>20000</v>
      </c>
      <c r="G268" s="387">
        <f>F268/7.5345</f>
        <v>2654.4561682925209</v>
      </c>
      <c r="H268" s="387">
        <v>3000</v>
      </c>
      <c r="I268" s="580">
        <f>H268*7.5345</f>
        <v>22603.5</v>
      </c>
      <c r="J268" s="387">
        <v>3000</v>
      </c>
      <c r="K268" s="580">
        <f>J268*7.5345</f>
        <v>22603.5</v>
      </c>
      <c r="L268" s="387">
        <v>3000</v>
      </c>
      <c r="M268" s="580">
        <f>L268*7.5345</f>
        <v>22603.5</v>
      </c>
      <c r="N268" s="409">
        <f t="shared" si="193"/>
        <v>100</v>
      </c>
      <c r="O268" s="427">
        <f t="shared" si="195"/>
        <v>100</v>
      </c>
    </row>
    <row r="269" spans="1:15" ht="14.4" thickBot="1" x14ac:dyDescent="0.3">
      <c r="A269" s="379" t="s">
        <v>458</v>
      </c>
      <c r="B269" s="488"/>
      <c r="C269" s="391">
        <v>382</v>
      </c>
      <c r="D269" s="392" t="s">
        <v>38</v>
      </c>
      <c r="E269" s="387">
        <v>20000</v>
      </c>
      <c r="F269" s="387">
        <f t="shared" ref="F269:M269" si="196">SUM(F270)</f>
        <v>25000</v>
      </c>
      <c r="G269" s="387">
        <f t="shared" si="196"/>
        <v>3318.0702103656513</v>
      </c>
      <c r="H269" s="387">
        <f t="shared" si="196"/>
        <v>20000</v>
      </c>
      <c r="I269" s="387">
        <f t="shared" si="196"/>
        <v>150690</v>
      </c>
      <c r="J269" s="387">
        <f t="shared" si="196"/>
        <v>4000</v>
      </c>
      <c r="K269" s="387">
        <f t="shared" si="196"/>
        <v>30138</v>
      </c>
      <c r="L269" s="387">
        <f t="shared" si="196"/>
        <v>5000</v>
      </c>
      <c r="M269" s="580">
        <f t="shared" si="196"/>
        <v>37672.5</v>
      </c>
      <c r="N269" s="409">
        <f t="shared" si="193"/>
        <v>20</v>
      </c>
      <c r="O269" s="427">
        <f t="shared" si="195"/>
        <v>125</v>
      </c>
    </row>
    <row r="270" spans="1:15" s="415" customFormat="1" ht="14.4" hidden="1" thickBot="1" x14ac:dyDescent="0.3">
      <c r="A270" s="379" t="s">
        <v>458</v>
      </c>
      <c r="B270" s="495"/>
      <c r="C270" s="424">
        <v>3821</v>
      </c>
      <c r="D270" s="394" t="s">
        <v>235</v>
      </c>
      <c r="E270" s="385">
        <v>20000</v>
      </c>
      <c r="F270" s="385">
        <v>25000</v>
      </c>
      <c r="G270" s="387">
        <f>F270/7.5345</f>
        <v>3318.0702103656513</v>
      </c>
      <c r="H270" s="387">
        <v>20000</v>
      </c>
      <c r="I270" s="580">
        <f>H270*7.5345</f>
        <v>150690</v>
      </c>
      <c r="J270" s="387">
        <v>4000</v>
      </c>
      <c r="K270" s="580">
        <f>J270*7.5345</f>
        <v>30138</v>
      </c>
      <c r="L270" s="387">
        <v>5000</v>
      </c>
      <c r="M270" s="580">
        <f>L270*7.5345</f>
        <v>37672.5</v>
      </c>
      <c r="N270" s="409">
        <f t="shared" si="193"/>
        <v>20</v>
      </c>
      <c r="O270" s="427">
        <f t="shared" si="195"/>
        <v>125</v>
      </c>
    </row>
    <row r="271" spans="1:15" s="117" customFormat="1" ht="18" thickBot="1" x14ac:dyDescent="0.35">
      <c r="A271" s="939" t="s">
        <v>637</v>
      </c>
      <c r="B271" s="940"/>
      <c r="C271" s="940"/>
      <c r="D271" s="941"/>
      <c r="E271" s="593">
        <f t="shared" ref="E271:H271" si="197">SUM(E274+E280)</f>
        <v>19000</v>
      </c>
      <c r="F271" s="593">
        <f t="shared" si="197"/>
        <v>28000</v>
      </c>
      <c r="G271" s="593">
        <f t="shared" si="197"/>
        <v>3716.2386356095294</v>
      </c>
      <c r="H271" s="593">
        <f t="shared" si="197"/>
        <v>4500</v>
      </c>
      <c r="I271" s="598">
        <f t="shared" ref="I271:K271" si="198">SUM(I274+I280)</f>
        <v>33905.25</v>
      </c>
      <c r="J271" s="593">
        <f t="shared" ref="J271:M271" si="199">SUM(J274+J280)</f>
        <v>5500</v>
      </c>
      <c r="K271" s="598">
        <f t="shared" si="198"/>
        <v>41439.75</v>
      </c>
      <c r="L271" s="593">
        <f t="shared" si="199"/>
        <v>5500</v>
      </c>
      <c r="M271" s="598">
        <f t="shared" si="199"/>
        <v>41439.75</v>
      </c>
      <c r="N271" s="600">
        <f>AVERAGE(J271/H271*100)</f>
        <v>122.22222222222223</v>
      </c>
      <c r="O271" s="601">
        <f>AVERAGE(L271/J271*100)</f>
        <v>100</v>
      </c>
    </row>
    <row r="272" spans="1:15" s="29" customFormat="1" ht="13.8" x14ac:dyDescent="0.25">
      <c r="A272" s="426"/>
      <c r="B272" s="42"/>
      <c r="C272" s="42"/>
      <c r="D272" s="421" t="s">
        <v>178</v>
      </c>
      <c r="E272" s="397"/>
      <c r="F272" s="396"/>
      <c r="G272" s="396"/>
      <c r="H272" s="396"/>
      <c r="I272" s="577"/>
      <c r="J272" s="396"/>
      <c r="K272" s="577"/>
      <c r="L272" s="396"/>
      <c r="M272" s="577"/>
      <c r="N272" s="942">
        <f>AVERAGE(J274/H274*100)</f>
        <v>100</v>
      </c>
      <c r="O272" s="944">
        <f>AVERAGE(L274/J274*100)</f>
        <v>100</v>
      </c>
    </row>
    <row r="273" spans="1:15" ht="13.8" x14ac:dyDescent="0.25">
      <c r="A273" s="426"/>
      <c r="B273" s="42"/>
      <c r="C273" s="42"/>
      <c r="D273" s="420" t="s">
        <v>670</v>
      </c>
      <c r="E273" s="387"/>
      <c r="F273" s="396"/>
      <c r="G273" s="396"/>
      <c r="H273" s="396"/>
      <c r="I273" s="577"/>
      <c r="J273" s="396"/>
      <c r="K273" s="577"/>
      <c r="L273" s="396"/>
      <c r="M273" s="577"/>
      <c r="N273" s="943"/>
      <c r="O273" s="945"/>
    </row>
    <row r="274" spans="1:15" s="4" customFormat="1" ht="15.6" x14ac:dyDescent="0.3">
      <c r="A274" s="458"/>
      <c r="B274" s="117"/>
      <c r="C274" s="117"/>
      <c r="D274" s="455" t="s">
        <v>432</v>
      </c>
      <c r="E274" s="459">
        <v>13000</v>
      </c>
      <c r="F274" s="457">
        <f t="shared" ref="F274:M276" si="200">SUM(F275)</f>
        <v>13000</v>
      </c>
      <c r="G274" s="457">
        <f t="shared" si="200"/>
        <v>1725.3965093901386</v>
      </c>
      <c r="H274" s="457">
        <f t="shared" si="200"/>
        <v>1500</v>
      </c>
      <c r="I274" s="457">
        <f t="shared" si="200"/>
        <v>11301.75</v>
      </c>
      <c r="J274" s="457">
        <f t="shared" si="200"/>
        <v>1500</v>
      </c>
      <c r="K274" s="457">
        <f t="shared" si="200"/>
        <v>11301.75</v>
      </c>
      <c r="L274" s="457">
        <f t="shared" si="200"/>
        <v>1500</v>
      </c>
      <c r="M274" s="578">
        <f t="shared" si="200"/>
        <v>11301.75</v>
      </c>
      <c r="N274" s="943"/>
      <c r="O274" s="945"/>
    </row>
    <row r="275" spans="1:15" s="482" customFormat="1" ht="13.8" x14ac:dyDescent="0.25">
      <c r="A275" s="382" t="s">
        <v>560</v>
      </c>
      <c r="B275" s="388"/>
      <c r="C275" s="378">
        <v>38</v>
      </c>
      <c r="D275" s="389" t="s">
        <v>80</v>
      </c>
      <c r="E275" s="386">
        <v>13000</v>
      </c>
      <c r="F275" s="386">
        <f t="shared" si="200"/>
        <v>13000</v>
      </c>
      <c r="G275" s="386">
        <f t="shared" si="200"/>
        <v>1725.3965093901386</v>
      </c>
      <c r="H275" s="386">
        <f t="shared" si="200"/>
        <v>1500</v>
      </c>
      <c r="I275" s="386">
        <f t="shared" si="200"/>
        <v>11301.75</v>
      </c>
      <c r="J275" s="386">
        <f t="shared" si="200"/>
        <v>1500</v>
      </c>
      <c r="K275" s="386">
        <f t="shared" si="200"/>
        <v>11301.75</v>
      </c>
      <c r="L275" s="386">
        <f t="shared" si="200"/>
        <v>1500</v>
      </c>
      <c r="M275" s="581">
        <f t="shared" si="200"/>
        <v>11301.75</v>
      </c>
      <c r="N275" s="409">
        <f t="shared" ref="N275:N277" si="201">AVERAGE(J275/H275*100)</f>
        <v>100</v>
      </c>
      <c r="O275" s="427">
        <f>AVERAGE(L275/J275*100)</f>
        <v>100</v>
      </c>
    </row>
    <row r="276" spans="1:15" ht="14.4" thickBot="1" x14ac:dyDescent="0.3">
      <c r="A276" s="379" t="s">
        <v>560</v>
      </c>
      <c r="B276" s="488"/>
      <c r="C276" s="391">
        <v>381</v>
      </c>
      <c r="D276" s="392" t="s">
        <v>37</v>
      </c>
      <c r="E276" s="387">
        <v>13000</v>
      </c>
      <c r="F276" s="387">
        <f t="shared" si="200"/>
        <v>13000</v>
      </c>
      <c r="G276" s="387">
        <f t="shared" si="200"/>
        <v>1725.3965093901386</v>
      </c>
      <c r="H276" s="387">
        <f t="shared" si="200"/>
        <v>1500</v>
      </c>
      <c r="I276" s="387">
        <f t="shared" si="200"/>
        <v>11301.75</v>
      </c>
      <c r="J276" s="387">
        <f t="shared" si="200"/>
        <v>1500</v>
      </c>
      <c r="K276" s="387">
        <f t="shared" si="200"/>
        <v>11301.75</v>
      </c>
      <c r="L276" s="387">
        <f t="shared" si="200"/>
        <v>1500</v>
      </c>
      <c r="M276" s="580">
        <f t="shared" si="200"/>
        <v>11301.75</v>
      </c>
      <c r="N276" s="409">
        <f t="shared" si="201"/>
        <v>100</v>
      </c>
      <c r="O276" s="427">
        <f t="shared" ref="O276:O277" si="202">AVERAGE(L276/J276*100)</f>
        <v>100</v>
      </c>
    </row>
    <row r="277" spans="1:15" s="230" customFormat="1" ht="14.4" hidden="1" thickBot="1" x14ac:dyDescent="0.3">
      <c r="A277" s="432" t="s">
        <v>560</v>
      </c>
      <c r="B277" s="490"/>
      <c r="C277" s="411">
        <v>3811</v>
      </c>
      <c r="D277" s="412" t="s">
        <v>399</v>
      </c>
      <c r="E277" s="413">
        <v>13000</v>
      </c>
      <c r="F277" s="413">
        <v>13000</v>
      </c>
      <c r="G277" s="413">
        <f>F277/7.5345</f>
        <v>1725.3965093901386</v>
      </c>
      <c r="H277" s="413">
        <v>1500</v>
      </c>
      <c r="I277" s="582">
        <f>H277*7.5345</f>
        <v>11301.75</v>
      </c>
      <c r="J277" s="413">
        <v>1500</v>
      </c>
      <c r="K277" s="582">
        <f>J277*7.5345</f>
        <v>11301.75</v>
      </c>
      <c r="L277" s="413">
        <v>1500</v>
      </c>
      <c r="M277" s="582">
        <f>L277*7.5345</f>
        <v>11301.75</v>
      </c>
      <c r="N277" s="479">
        <f t="shared" si="201"/>
        <v>100</v>
      </c>
      <c r="O277" s="480">
        <f t="shared" si="202"/>
        <v>100</v>
      </c>
    </row>
    <row r="278" spans="1:15" s="117" customFormat="1" ht="15.6" x14ac:dyDescent="0.3">
      <c r="A278" s="426"/>
      <c r="B278" s="493"/>
      <c r="C278" s="42"/>
      <c r="D278" s="421" t="s">
        <v>178</v>
      </c>
      <c r="E278" s="397"/>
      <c r="F278" s="396"/>
      <c r="G278" s="396"/>
      <c r="H278" s="396"/>
      <c r="I278" s="577"/>
      <c r="J278" s="396"/>
      <c r="K278" s="577"/>
      <c r="L278" s="396"/>
      <c r="M278" s="577"/>
      <c r="N278" s="942">
        <f>AVERAGE(J280/H280*100)</f>
        <v>133.33333333333331</v>
      </c>
      <c r="O278" s="944">
        <f>AVERAGE(L280/J280*100)</f>
        <v>100</v>
      </c>
    </row>
    <row r="279" spans="1:15" s="29" customFormat="1" ht="13.8" x14ac:dyDescent="0.25">
      <c r="A279" s="426"/>
      <c r="B279" s="493"/>
      <c r="C279" s="42"/>
      <c r="D279" s="420" t="s">
        <v>670</v>
      </c>
      <c r="E279" s="387"/>
      <c r="F279" s="396"/>
      <c r="G279" s="396"/>
      <c r="H279" s="396"/>
      <c r="I279" s="577"/>
      <c r="J279" s="396"/>
      <c r="K279" s="577"/>
      <c r="L279" s="396"/>
      <c r="M279" s="577"/>
      <c r="N279" s="943"/>
      <c r="O279" s="945"/>
    </row>
    <row r="280" spans="1:15" ht="15.6" x14ac:dyDescent="0.3">
      <c r="A280" s="458"/>
      <c r="B280" s="494"/>
      <c r="C280" s="117"/>
      <c r="D280" s="464" t="s">
        <v>434</v>
      </c>
      <c r="E280" s="459">
        <v>6000</v>
      </c>
      <c r="F280" s="457">
        <f t="shared" ref="F280:M282" si="203">SUM(F281)</f>
        <v>15000</v>
      </c>
      <c r="G280" s="457">
        <f t="shared" si="203"/>
        <v>1990.8421262193906</v>
      </c>
      <c r="H280" s="457">
        <f t="shared" si="203"/>
        <v>3000</v>
      </c>
      <c r="I280" s="457">
        <f t="shared" si="203"/>
        <v>22603.5</v>
      </c>
      <c r="J280" s="457">
        <f t="shared" si="203"/>
        <v>4000</v>
      </c>
      <c r="K280" s="457">
        <f t="shared" si="203"/>
        <v>30138</v>
      </c>
      <c r="L280" s="457">
        <f t="shared" si="203"/>
        <v>4000</v>
      </c>
      <c r="M280" s="578">
        <f t="shared" si="203"/>
        <v>30138</v>
      </c>
      <c r="N280" s="943"/>
      <c r="O280" s="945"/>
    </row>
    <row r="281" spans="1:15" ht="13.8" x14ac:dyDescent="0.25">
      <c r="A281" s="382" t="s">
        <v>561</v>
      </c>
      <c r="B281" s="489"/>
      <c r="C281" s="378">
        <v>38</v>
      </c>
      <c r="D281" s="389" t="s">
        <v>80</v>
      </c>
      <c r="E281" s="386">
        <v>6000</v>
      </c>
      <c r="F281" s="386">
        <f t="shared" si="203"/>
        <v>15000</v>
      </c>
      <c r="G281" s="386">
        <f t="shared" si="203"/>
        <v>1990.8421262193906</v>
      </c>
      <c r="H281" s="386">
        <f t="shared" si="203"/>
        <v>3000</v>
      </c>
      <c r="I281" s="386">
        <f t="shared" si="203"/>
        <v>22603.5</v>
      </c>
      <c r="J281" s="386">
        <f t="shared" si="203"/>
        <v>4000</v>
      </c>
      <c r="K281" s="386">
        <f t="shared" si="203"/>
        <v>30138</v>
      </c>
      <c r="L281" s="386">
        <f t="shared" si="203"/>
        <v>4000</v>
      </c>
      <c r="M281" s="581">
        <f t="shared" si="203"/>
        <v>30138</v>
      </c>
      <c r="N281" s="409">
        <f t="shared" ref="N281:N283" si="204">AVERAGE(J281/H281*100)</f>
        <v>133.33333333333331</v>
      </c>
      <c r="O281" s="427">
        <f>AVERAGE(L281/J281*100)</f>
        <v>100</v>
      </c>
    </row>
    <row r="282" spans="1:15" ht="14.4" thickBot="1" x14ac:dyDescent="0.3">
      <c r="A282" s="379" t="s">
        <v>561</v>
      </c>
      <c r="B282" s="488"/>
      <c r="C282" s="391">
        <v>381</v>
      </c>
      <c r="D282" s="392" t="s">
        <v>37</v>
      </c>
      <c r="E282" s="387">
        <v>6000</v>
      </c>
      <c r="F282" s="387">
        <f t="shared" si="203"/>
        <v>15000</v>
      </c>
      <c r="G282" s="387">
        <f t="shared" si="203"/>
        <v>1990.8421262193906</v>
      </c>
      <c r="H282" s="387">
        <f t="shared" si="203"/>
        <v>3000</v>
      </c>
      <c r="I282" s="387">
        <f t="shared" si="203"/>
        <v>22603.5</v>
      </c>
      <c r="J282" s="387">
        <f t="shared" si="203"/>
        <v>4000</v>
      </c>
      <c r="K282" s="387">
        <f t="shared" si="203"/>
        <v>30138</v>
      </c>
      <c r="L282" s="387">
        <f t="shared" si="203"/>
        <v>4000</v>
      </c>
      <c r="M282" s="580">
        <f t="shared" si="203"/>
        <v>30138</v>
      </c>
      <c r="N282" s="409">
        <f t="shared" si="204"/>
        <v>133.33333333333331</v>
      </c>
      <c r="O282" s="427">
        <f t="shared" ref="O282:O283" si="205">AVERAGE(L282/J282*100)</f>
        <v>100</v>
      </c>
    </row>
    <row r="283" spans="1:15" s="415" customFormat="1" ht="14.4" hidden="1" thickBot="1" x14ac:dyDescent="0.3">
      <c r="A283" s="379" t="s">
        <v>561</v>
      </c>
      <c r="B283" s="495"/>
      <c r="C283" s="424">
        <v>3811</v>
      </c>
      <c r="D283" s="394" t="s">
        <v>228</v>
      </c>
      <c r="E283" s="385">
        <v>6000</v>
      </c>
      <c r="F283" s="385">
        <v>15000</v>
      </c>
      <c r="G283" s="387">
        <f>F283/7.5345</f>
        <v>1990.8421262193906</v>
      </c>
      <c r="H283" s="387">
        <v>3000</v>
      </c>
      <c r="I283" s="580">
        <f>H283*7.5345</f>
        <v>22603.5</v>
      </c>
      <c r="J283" s="387">
        <v>4000</v>
      </c>
      <c r="K283" s="580">
        <f>J283*7.5345</f>
        <v>30138</v>
      </c>
      <c r="L283" s="387">
        <v>4000</v>
      </c>
      <c r="M283" s="580">
        <f>L283*7.5345</f>
        <v>30138</v>
      </c>
      <c r="N283" s="409">
        <f t="shared" si="204"/>
        <v>133.33333333333331</v>
      </c>
      <c r="O283" s="427">
        <f t="shared" si="205"/>
        <v>100</v>
      </c>
    </row>
    <row r="284" spans="1:15" s="117" customFormat="1" ht="18" thickBot="1" x14ac:dyDescent="0.35">
      <c r="A284" s="939" t="s">
        <v>638</v>
      </c>
      <c r="B284" s="940"/>
      <c r="C284" s="940"/>
      <c r="D284" s="941"/>
      <c r="E284" s="593">
        <v>40000</v>
      </c>
      <c r="F284" s="593">
        <f t="shared" ref="F284:I284" si="206">SUM(F287+F293)</f>
        <v>240000</v>
      </c>
      <c r="G284" s="593">
        <f t="shared" si="206"/>
        <v>31853.474019510253</v>
      </c>
      <c r="H284" s="593">
        <f t="shared" si="206"/>
        <v>33000</v>
      </c>
      <c r="I284" s="598">
        <f t="shared" si="206"/>
        <v>248638.5</v>
      </c>
      <c r="J284" s="593">
        <f t="shared" ref="J284:M284" si="207">SUM(J287+J293)</f>
        <v>22000</v>
      </c>
      <c r="K284" s="598">
        <f t="shared" ref="K284" si="208">SUM(K287+K293)</f>
        <v>165759</v>
      </c>
      <c r="L284" s="593">
        <f t="shared" si="207"/>
        <v>22000</v>
      </c>
      <c r="M284" s="598">
        <f t="shared" si="207"/>
        <v>165759</v>
      </c>
      <c r="N284" s="600">
        <f>AVERAGE(J284/H284*100)</f>
        <v>66.666666666666657</v>
      </c>
      <c r="O284" s="601">
        <f>AVERAGE(L284/J284*100)</f>
        <v>100</v>
      </c>
    </row>
    <row r="285" spans="1:15" s="29" customFormat="1" ht="13.8" x14ac:dyDescent="0.25">
      <c r="A285" s="426"/>
      <c r="B285" s="42"/>
      <c r="C285" s="42"/>
      <c r="D285" s="421" t="s">
        <v>240</v>
      </c>
      <c r="E285" s="397"/>
      <c r="F285" s="396"/>
      <c r="G285" s="396"/>
      <c r="H285" s="396"/>
      <c r="I285" s="577"/>
      <c r="J285" s="396"/>
      <c r="K285" s="577"/>
      <c r="L285" s="396"/>
      <c r="M285" s="577"/>
      <c r="N285" s="942">
        <f>AVERAGE(J287/H287*100)</f>
        <v>110.00000000000001</v>
      </c>
      <c r="O285" s="944">
        <f>AVERAGE(L287/J287*100)</f>
        <v>100</v>
      </c>
    </row>
    <row r="286" spans="1:15" ht="13.8" x14ac:dyDescent="0.25">
      <c r="A286" s="426"/>
      <c r="B286" s="42"/>
      <c r="C286" s="42"/>
      <c r="D286" s="420" t="s">
        <v>677</v>
      </c>
      <c r="E286" s="387"/>
      <c r="F286" s="396"/>
      <c r="G286" s="396"/>
      <c r="H286" s="396"/>
      <c r="I286" s="577"/>
      <c r="J286" s="396"/>
      <c r="K286" s="577"/>
      <c r="L286" s="396"/>
      <c r="M286" s="577"/>
      <c r="N286" s="943"/>
      <c r="O286" s="945"/>
    </row>
    <row r="287" spans="1:15" ht="15.6" x14ac:dyDescent="0.3">
      <c r="A287" s="458"/>
      <c r="B287" s="494"/>
      <c r="C287" s="117"/>
      <c r="D287" s="464" t="s">
        <v>435</v>
      </c>
      <c r="E287" s="459">
        <v>40000</v>
      </c>
      <c r="F287" s="457">
        <f t="shared" ref="F287:M289" si="209">SUM(F288)</f>
        <v>140000</v>
      </c>
      <c r="G287" s="457">
        <f t="shared" si="209"/>
        <v>18581.193178047648</v>
      </c>
      <c r="H287" s="457">
        <f t="shared" si="209"/>
        <v>20000</v>
      </c>
      <c r="I287" s="457">
        <f t="shared" si="209"/>
        <v>150690</v>
      </c>
      <c r="J287" s="457">
        <f t="shared" si="209"/>
        <v>22000</v>
      </c>
      <c r="K287" s="457">
        <f t="shared" si="209"/>
        <v>165759</v>
      </c>
      <c r="L287" s="457">
        <f t="shared" si="209"/>
        <v>22000</v>
      </c>
      <c r="M287" s="578">
        <f t="shared" si="209"/>
        <v>165759</v>
      </c>
      <c r="N287" s="943"/>
      <c r="O287" s="945"/>
    </row>
    <row r="288" spans="1:15" s="29" customFormat="1" ht="13.8" x14ac:dyDescent="0.25">
      <c r="A288" s="382" t="s">
        <v>562</v>
      </c>
      <c r="B288" s="489"/>
      <c r="C288" s="378">
        <v>32</v>
      </c>
      <c r="D288" s="389" t="s">
        <v>180</v>
      </c>
      <c r="E288" s="386">
        <v>40000</v>
      </c>
      <c r="F288" s="386">
        <f t="shared" si="209"/>
        <v>140000</v>
      </c>
      <c r="G288" s="386">
        <f t="shared" si="209"/>
        <v>18581.193178047648</v>
      </c>
      <c r="H288" s="386">
        <f t="shared" si="209"/>
        <v>20000</v>
      </c>
      <c r="I288" s="386">
        <f t="shared" si="209"/>
        <v>150690</v>
      </c>
      <c r="J288" s="386">
        <f t="shared" si="209"/>
        <v>22000</v>
      </c>
      <c r="K288" s="386">
        <f t="shared" si="209"/>
        <v>165759</v>
      </c>
      <c r="L288" s="386">
        <f t="shared" si="209"/>
        <v>22000</v>
      </c>
      <c r="M288" s="581">
        <f t="shared" si="209"/>
        <v>165759</v>
      </c>
      <c r="N288" s="409">
        <f t="shared" ref="N288:N290" si="210">AVERAGE(J288/H288*100)</f>
        <v>110.00000000000001</v>
      </c>
      <c r="O288" s="427">
        <f>AVERAGE(L288/J288*100)</f>
        <v>100</v>
      </c>
    </row>
    <row r="289" spans="1:15" ht="14.4" thickBot="1" x14ac:dyDescent="0.3">
      <c r="A289" s="379" t="s">
        <v>562</v>
      </c>
      <c r="B289" s="488"/>
      <c r="C289" s="391">
        <v>323</v>
      </c>
      <c r="D289" s="392" t="s">
        <v>56</v>
      </c>
      <c r="E289" s="387">
        <v>40000</v>
      </c>
      <c r="F289" s="387">
        <f t="shared" si="209"/>
        <v>140000</v>
      </c>
      <c r="G289" s="387">
        <f t="shared" si="209"/>
        <v>18581.193178047648</v>
      </c>
      <c r="H289" s="387">
        <f t="shared" si="209"/>
        <v>20000</v>
      </c>
      <c r="I289" s="387">
        <f t="shared" si="209"/>
        <v>150690</v>
      </c>
      <c r="J289" s="387">
        <f t="shared" si="209"/>
        <v>22000</v>
      </c>
      <c r="K289" s="387">
        <f t="shared" si="209"/>
        <v>165759</v>
      </c>
      <c r="L289" s="387">
        <f t="shared" si="209"/>
        <v>22000</v>
      </c>
      <c r="M289" s="580">
        <f t="shared" si="209"/>
        <v>165759</v>
      </c>
      <c r="N289" s="409">
        <f t="shared" si="210"/>
        <v>110.00000000000001</v>
      </c>
      <c r="O289" s="427">
        <f t="shared" ref="O289:O290" si="211">AVERAGE(L289/J289*100)</f>
        <v>100</v>
      </c>
    </row>
    <row r="290" spans="1:15" ht="14.4" hidden="1" customHeight="1" thickBot="1" x14ac:dyDescent="0.3">
      <c r="A290" s="432" t="s">
        <v>562</v>
      </c>
      <c r="B290" s="490"/>
      <c r="C290" s="411">
        <v>3234</v>
      </c>
      <c r="D290" s="412" t="s">
        <v>60</v>
      </c>
      <c r="E290" s="413">
        <v>40000</v>
      </c>
      <c r="F290" s="413">
        <v>140000</v>
      </c>
      <c r="G290" s="413">
        <f>F290/7.5345</f>
        <v>18581.193178047648</v>
      </c>
      <c r="H290" s="413">
        <v>20000</v>
      </c>
      <c r="I290" s="582">
        <f>H290*7.5345</f>
        <v>150690</v>
      </c>
      <c r="J290" s="413">
        <v>22000</v>
      </c>
      <c r="K290" s="582">
        <f>J290*7.5345</f>
        <v>165759</v>
      </c>
      <c r="L290" s="413">
        <v>22000</v>
      </c>
      <c r="M290" s="582">
        <f>L290*7.5345</f>
        <v>165759</v>
      </c>
      <c r="N290" s="479">
        <f t="shared" si="210"/>
        <v>110.00000000000001</v>
      </c>
      <c r="O290" s="480">
        <f t="shared" si="211"/>
        <v>100</v>
      </c>
    </row>
    <row r="291" spans="1:15" s="447" customFormat="1" ht="18" customHeight="1" x14ac:dyDescent="0.3">
      <c r="A291" s="426"/>
      <c r="B291" s="493"/>
      <c r="C291" s="42"/>
      <c r="D291" s="421" t="s">
        <v>240</v>
      </c>
      <c r="E291" s="397"/>
      <c r="F291" s="396"/>
      <c r="G291" s="396"/>
      <c r="H291" s="396"/>
      <c r="I291" s="577"/>
      <c r="J291" s="396"/>
      <c r="K291" s="577"/>
      <c r="L291" s="396"/>
      <c r="M291" s="577"/>
      <c r="N291" s="942">
        <f>AVERAGE(J293/H293*100)</f>
        <v>0</v>
      </c>
      <c r="O291" s="944" t="e">
        <f>AVERAGE(L293/J293*100)</f>
        <v>#DIV/0!</v>
      </c>
    </row>
    <row r="292" spans="1:15" ht="15" customHeight="1" x14ac:dyDescent="0.25">
      <c r="A292" s="426"/>
      <c r="B292" s="493"/>
      <c r="C292" s="42"/>
      <c r="D292" s="420" t="s">
        <v>677</v>
      </c>
      <c r="E292" s="387"/>
      <c r="F292" s="396"/>
      <c r="G292" s="396"/>
      <c r="H292" s="396"/>
      <c r="I292" s="577"/>
      <c r="J292" s="396"/>
      <c r="K292" s="577"/>
      <c r="L292" s="396"/>
      <c r="M292" s="577"/>
      <c r="N292" s="943"/>
      <c r="O292" s="945"/>
    </row>
    <row r="293" spans="1:15" s="230" customFormat="1" ht="31.2" x14ac:dyDescent="0.3">
      <c r="A293" s="458"/>
      <c r="B293" s="494"/>
      <c r="C293" s="117"/>
      <c r="D293" s="464" t="s">
        <v>469</v>
      </c>
      <c r="E293" s="459">
        <v>0</v>
      </c>
      <c r="F293" s="457">
        <f t="shared" ref="F293:M293" si="212">SUM(F294)</f>
        <v>100000</v>
      </c>
      <c r="G293" s="457">
        <f t="shared" si="212"/>
        <v>13272.280841462605</v>
      </c>
      <c r="H293" s="712">
        <f t="shared" si="212"/>
        <v>13000</v>
      </c>
      <c r="I293" s="712">
        <f t="shared" si="212"/>
        <v>97948.5</v>
      </c>
      <c r="J293" s="712">
        <f t="shared" si="212"/>
        <v>0</v>
      </c>
      <c r="K293" s="712">
        <f t="shared" si="212"/>
        <v>0</v>
      </c>
      <c r="L293" s="712">
        <f t="shared" si="212"/>
        <v>0</v>
      </c>
      <c r="M293" s="578">
        <f t="shared" si="212"/>
        <v>0</v>
      </c>
      <c r="N293" s="943"/>
      <c r="O293" s="945"/>
    </row>
    <row r="294" spans="1:15" s="117" customFormat="1" ht="15.6" x14ac:dyDescent="0.3">
      <c r="A294" s="382" t="s">
        <v>563</v>
      </c>
      <c r="B294" s="489"/>
      <c r="C294" s="378">
        <v>32</v>
      </c>
      <c r="D294" s="389" t="s">
        <v>180</v>
      </c>
      <c r="E294" s="386">
        <v>0</v>
      </c>
      <c r="F294" s="386">
        <f t="shared" ref="F294:M294" si="213">SUM(F295)</f>
        <v>100000</v>
      </c>
      <c r="G294" s="386">
        <f t="shared" si="213"/>
        <v>13272.280841462605</v>
      </c>
      <c r="H294" s="386">
        <f t="shared" si="213"/>
        <v>13000</v>
      </c>
      <c r="I294" s="386">
        <f t="shared" si="213"/>
        <v>97948.5</v>
      </c>
      <c r="J294" s="386">
        <f t="shared" si="213"/>
        <v>0</v>
      </c>
      <c r="K294" s="386">
        <f t="shared" si="213"/>
        <v>0</v>
      </c>
      <c r="L294" s="386">
        <f t="shared" si="213"/>
        <v>0</v>
      </c>
      <c r="M294" s="581">
        <f t="shared" si="213"/>
        <v>0</v>
      </c>
      <c r="N294" s="409">
        <f t="shared" ref="N294:N296" si="214">AVERAGE(J294/H294*100)</f>
        <v>0</v>
      </c>
      <c r="O294" s="427" t="e">
        <f>AVERAGE(L294/J294*100)</f>
        <v>#DIV/0!</v>
      </c>
    </row>
    <row r="295" spans="1:15" s="29" customFormat="1" ht="14.4" thickBot="1" x14ac:dyDescent="0.3">
      <c r="A295" s="379" t="s">
        <v>563</v>
      </c>
      <c r="B295" s="488"/>
      <c r="C295" s="391">
        <v>322</v>
      </c>
      <c r="D295" s="392" t="s">
        <v>52</v>
      </c>
      <c r="E295" s="387">
        <v>0</v>
      </c>
      <c r="F295" s="387">
        <f t="shared" ref="F295:M295" si="215">SUM(F296)</f>
        <v>100000</v>
      </c>
      <c r="G295" s="387">
        <f t="shared" si="215"/>
        <v>13272.280841462605</v>
      </c>
      <c r="H295" s="387">
        <f t="shared" si="215"/>
        <v>13000</v>
      </c>
      <c r="I295" s="387">
        <f t="shared" si="215"/>
        <v>97948.5</v>
      </c>
      <c r="J295" s="387">
        <f t="shared" si="215"/>
        <v>0</v>
      </c>
      <c r="K295" s="387">
        <f t="shared" si="215"/>
        <v>0</v>
      </c>
      <c r="L295" s="387">
        <f t="shared" si="215"/>
        <v>0</v>
      </c>
      <c r="M295" s="580">
        <f t="shared" si="215"/>
        <v>0</v>
      </c>
      <c r="N295" s="409">
        <f t="shared" si="214"/>
        <v>0</v>
      </c>
      <c r="O295" s="427" t="e">
        <f t="shared" ref="O295:O296" si="216">AVERAGE(L295/J295*100)</f>
        <v>#DIV/0!</v>
      </c>
    </row>
    <row r="296" spans="1:15" ht="14.4" hidden="1" thickBot="1" x14ac:dyDescent="0.3">
      <c r="A296" s="379" t="s">
        <v>563</v>
      </c>
      <c r="B296" s="488"/>
      <c r="C296" s="391">
        <v>3225</v>
      </c>
      <c r="D296" s="392" t="s">
        <v>190</v>
      </c>
      <c r="E296" s="387">
        <v>0</v>
      </c>
      <c r="F296" s="387">
        <v>100000</v>
      </c>
      <c r="G296" s="387">
        <f>F296/7.5345</f>
        <v>13272.280841462605</v>
      </c>
      <c r="H296" s="387">
        <v>13000</v>
      </c>
      <c r="I296" s="580">
        <f>H296*7.5345</f>
        <v>97948.5</v>
      </c>
      <c r="J296" s="387">
        <v>0</v>
      </c>
      <c r="K296" s="580">
        <f>J296*7.5345</f>
        <v>0</v>
      </c>
      <c r="L296" s="387">
        <v>0</v>
      </c>
      <c r="M296" s="580">
        <f>L296*7.5345</f>
        <v>0</v>
      </c>
      <c r="N296" s="409">
        <f t="shared" si="214"/>
        <v>0</v>
      </c>
      <c r="O296" s="427" t="e">
        <f t="shared" si="216"/>
        <v>#DIV/0!</v>
      </c>
    </row>
    <row r="297" spans="1:15" ht="18" thickBot="1" x14ac:dyDescent="0.3">
      <c r="A297" s="939" t="s">
        <v>639</v>
      </c>
      <c r="B297" s="940"/>
      <c r="C297" s="940"/>
      <c r="D297" s="941"/>
      <c r="E297" s="593">
        <f>SUM(E300+E308+E318+E324+E330+E336+E342+E348)</f>
        <v>1830000</v>
      </c>
      <c r="F297" s="593" t="e">
        <f>SUM(F300+F308+F318+#REF!+#REF!+F324+F330+F336+F342+F348+F354+#REF!+F362+F372+F379)</f>
        <v>#REF!</v>
      </c>
      <c r="G297" s="593" t="e">
        <f>SUM(G300+G308+G318+#REF!+#REF!+G324+G330+G336+G342+G348+G354+#REF!+G362+G372+G379)</f>
        <v>#REF!</v>
      </c>
      <c r="H297" s="593">
        <f>SUM(H300+H308+H318+H324+H330+H336+H342+H348+H354+H362+H372+H379)</f>
        <v>382700</v>
      </c>
      <c r="I297" s="598" t="e">
        <f>SUM(I300+I308+I318+#REF!+#REF!+I324+I330+I336+I342+I348+I354+#REF!+I362+I372+I379)</f>
        <v>#REF!</v>
      </c>
      <c r="J297" s="593">
        <f>SUM(J300+J308+J318+J324+J330+J336+J342+J348+J354+J362+J372+J379)</f>
        <v>444500</v>
      </c>
      <c r="K297" s="598" t="e">
        <f>SUM(K300+K308+K318+#REF!+#REF!+K324+K330+K336+K342+K348+K354+#REF!+K362+K372+K379)</f>
        <v>#REF!</v>
      </c>
      <c r="L297" s="593">
        <f>SUM(L300+L308+L318+L324+L330+L336+L342+L348+L354+L362+L372+L379)</f>
        <v>236500</v>
      </c>
      <c r="M297" s="598" t="e">
        <f>SUM(M300+M308+M318+#REF!+#REF!+M324+M330+M336+M342+M348+M354+#REF!+M362+M372+M379)</f>
        <v>#REF!</v>
      </c>
      <c r="N297" s="600">
        <f>AVERAGE(J297/H297*100)</f>
        <v>116.14841912725373</v>
      </c>
      <c r="O297" s="601">
        <f>AVERAGE(L297/J297*100)</f>
        <v>53.205849268841398</v>
      </c>
    </row>
    <row r="298" spans="1:15" s="415" customFormat="1" ht="28.2" thickBot="1" x14ac:dyDescent="0.3">
      <c r="A298" s="426"/>
      <c r="B298" s="42"/>
      <c r="C298" s="42"/>
      <c r="D298" s="421" t="s">
        <v>406</v>
      </c>
      <c r="E298" s="397"/>
      <c r="F298" s="396"/>
      <c r="G298" s="396"/>
      <c r="H298" s="396"/>
      <c r="I298" s="577"/>
      <c r="J298" s="396"/>
      <c r="K298" s="577"/>
      <c r="L298" s="396"/>
      <c r="M298" s="577"/>
      <c r="N298" s="942">
        <f>AVERAGE(J300/H300*100)</f>
        <v>108.33333333333333</v>
      </c>
      <c r="O298" s="944">
        <f>AVERAGE(L300/J300*100)</f>
        <v>107.69230769230769</v>
      </c>
    </row>
    <row r="299" spans="1:15" s="117" customFormat="1" ht="16.2" thickTop="1" x14ac:dyDescent="0.3">
      <c r="A299" s="426"/>
      <c r="B299" s="42"/>
      <c r="C299" s="42"/>
      <c r="D299" s="420" t="s">
        <v>670</v>
      </c>
      <c r="E299" s="387"/>
      <c r="F299" s="396"/>
      <c r="G299" s="396"/>
      <c r="H299" s="396"/>
      <c r="I299" s="577"/>
      <c r="J299" s="396"/>
      <c r="K299" s="577"/>
      <c r="L299" s="396"/>
      <c r="M299" s="577"/>
      <c r="N299" s="943"/>
      <c r="O299" s="945"/>
    </row>
    <row r="300" spans="1:15" s="29" customFormat="1" ht="15.6" x14ac:dyDescent="0.3">
      <c r="A300" s="458"/>
      <c r="B300" s="117"/>
      <c r="C300" s="117"/>
      <c r="D300" s="464" t="s">
        <v>436</v>
      </c>
      <c r="E300" s="459">
        <v>390000</v>
      </c>
      <c r="F300" s="457">
        <f t="shared" ref="F300:M300" si="217">SUM(F301)</f>
        <v>170000</v>
      </c>
      <c r="G300" s="457">
        <f t="shared" si="217"/>
        <v>22562.877430486427</v>
      </c>
      <c r="H300" s="457">
        <f t="shared" si="217"/>
        <v>24000</v>
      </c>
      <c r="I300" s="457">
        <f t="shared" si="217"/>
        <v>180828</v>
      </c>
      <c r="J300" s="457">
        <f t="shared" si="217"/>
        <v>26000</v>
      </c>
      <c r="K300" s="457">
        <f t="shared" si="217"/>
        <v>195897</v>
      </c>
      <c r="L300" s="457">
        <f t="shared" si="217"/>
        <v>28000</v>
      </c>
      <c r="M300" s="578">
        <f t="shared" si="217"/>
        <v>210966</v>
      </c>
      <c r="N300" s="943"/>
      <c r="O300" s="945"/>
    </row>
    <row r="301" spans="1:15" ht="13.8" x14ac:dyDescent="0.25">
      <c r="A301" s="382" t="s">
        <v>459</v>
      </c>
      <c r="B301" s="489"/>
      <c r="C301" s="378">
        <v>32</v>
      </c>
      <c r="D301" s="389" t="s">
        <v>180</v>
      </c>
      <c r="E301" s="386">
        <v>390000</v>
      </c>
      <c r="F301" s="386">
        <f t="shared" ref="F301:L301" si="218">SUM(F302+F304)</f>
        <v>170000</v>
      </c>
      <c r="G301" s="386">
        <f t="shared" si="218"/>
        <v>22562.877430486427</v>
      </c>
      <c r="H301" s="386">
        <f t="shared" si="218"/>
        <v>24000</v>
      </c>
      <c r="I301" s="386">
        <f t="shared" si="218"/>
        <v>180828</v>
      </c>
      <c r="J301" s="386">
        <f t="shared" si="218"/>
        <v>26000</v>
      </c>
      <c r="K301" s="386">
        <f t="shared" si="218"/>
        <v>195897</v>
      </c>
      <c r="L301" s="386">
        <f t="shared" si="218"/>
        <v>28000</v>
      </c>
      <c r="M301" s="581">
        <f t="shared" ref="M301" si="219">SUM(M302+M304)</f>
        <v>210966</v>
      </c>
      <c r="N301" s="409">
        <f t="shared" ref="N301:N305" si="220">AVERAGE(J301/H301*100)</f>
        <v>108.33333333333333</v>
      </c>
      <c r="O301" s="427">
        <f>AVERAGE(L301/J301*100)</f>
        <v>107.69230769230769</v>
      </c>
    </row>
    <row r="302" spans="1:15" ht="13.8" x14ac:dyDescent="0.25">
      <c r="A302" s="379" t="s">
        <v>459</v>
      </c>
      <c r="B302" s="488"/>
      <c r="C302" s="391">
        <v>322</v>
      </c>
      <c r="D302" s="392" t="s">
        <v>52</v>
      </c>
      <c r="E302" s="387">
        <v>250000</v>
      </c>
      <c r="F302" s="387">
        <f t="shared" ref="F302:M302" si="221">SUM(F303)</f>
        <v>120000</v>
      </c>
      <c r="G302" s="387">
        <f t="shared" si="221"/>
        <v>15926.737009755125</v>
      </c>
      <c r="H302" s="387">
        <f t="shared" si="221"/>
        <v>16000</v>
      </c>
      <c r="I302" s="387">
        <f t="shared" si="221"/>
        <v>120552</v>
      </c>
      <c r="J302" s="387">
        <f t="shared" si="221"/>
        <v>17000</v>
      </c>
      <c r="K302" s="387">
        <f t="shared" si="221"/>
        <v>128086.5</v>
      </c>
      <c r="L302" s="387">
        <f t="shared" si="221"/>
        <v>18000</v>
      </c>
      <c r="M302" s="580">
        <f t="shared" si="221"/>
        <v>135621</v>
      </c>
      <c r="N302" s="409">
        <f t="shared" si="220"/>
        <v>106.25</v>
      </c>
      <c r="O302" s="427">
        <f t="shared" ref="O302:O305" si="222">AVERAGE(L302/J302*100)</f>
        <v>105.88235294117648</v>
      </c>
    </row>
    <row r="303" spans="1:15" ht="13.8" hidden="1" x14ac:dyDescent="0.25">
      <c r="A303" s="379" t="s">
        <v>459</v>
      </c>
      <c r="B303" s="488"/>
      <c r="C303" s="391">
        <v>3223</v>
      </c>
      <c r="D303" s="392" t="s">
        <v>54</v>
      </c>
      <c r="E303" s="387">
        <v>250000</v>
      </c>
      <c r="F303" s="387">
        <v>120000</v>
      </c>
      <c r="G303" s="387">
        <f>F303/7.5345</f>
        <v>15926.737009755125</v>
      </c>
      <c r="H303" s="387">
        <v>16000</v>
      </c>
      <c r="I303" s="580">
        <f>H303*7.5345</f>
        <v>120552</v>
      </c>
      <c r="J303" s="387">
        <v>17000</v>
      </c>
      <c r="K303" s="580">
        <f>J303*7.5345</f>
        <v>128086.5</v>
      </c>
      <c r="L303" s="387">
        <v>18000</v>
      </c>
      <c r="M303" s="580">
        <f>L303*7.5345</f>
        <v>135621</v>
      </c>
      <c r="N303" s="409">
        <f t="shared" si="220"/>
        <v>106.25</v>
      </c>
      <c r="O303" s="427">
        <f t="shared" si="222"/>
        <v>105.88235294117648</v>
      </c>
    </row>
    <row r="304" spans="1:15" s="29" customFormat="1" ht="14.4" thickBot="1" x14ac:dyDescent="0.3">
      <c r="A304" s="379" t="s">
        <v>459</v>
      </c>
      <c r="B304" s="488"/>
      <c r="C304" s="391">
        <v>323</v>
      </c>
      <c r="D304" s="392" t="s">
        <v>56</v>
      </c>
      <c r="E304" s="387">
        <v>140000</v>
      </c>
      <c r="F304" s="387">
        <f t="shared" ref="F304:M304" si="223">SUM(F305)</f>
        <v>50000</v>
      </c>
      <c r="G304" s="387">
        <f t="shared" si="223"/>
        <v>6636.1404207313026</v>
      </c>
      <c r="H304" s="387">
        <f t="shared" si="223"/>
        <v>8000</v>
      </c>
      <c r="I304" s="387">
        <f t="shared" si="223"/>
        <v>60276</v>
      </c>
      <c r="J304" s="387">
        <f t="shared" si="223"/>
        <v>9000</v>
      </c>
      <c r="K304" s="387">
        <f t="shared" si="223"/>
        <v>67810.5</v>
      </c>
      <c r="L304" s="387">
        <f t="shared" si="223"/>
        <v>10000</v>
      </c>
      <c r="M304" s="580">
        <f t="shared" si="223"/>
        <v>75345</v>
      </c>
      <c r="N304" s="409">
        <f t="shared" si="220"/>
        <v>112.5</v>
      </c>
      <c r="O304" s="427">
        <f t="shared" si="222"/>
        <v>111.11111111111111</v>
      </c>
    </row>
    <row r="305" spans="1:15" s="415" customFormat="1" ht="14.4" hidden="1" thickBot="1" x14ac:dyDescent="0.3">
      <c r="A305" s="432" t="s">
        <v>459</v>
      </c>
      <c r="B305" s="490"/>
      <c r="C305" s="411">
        <v>3232</v>
      </c>
      <c r="D305" s="412" t="s">
        <v>242</v>
      </c>
      <c r="E305" s="413">
        <v>140000</v>
      </c>
      <c r="F305" s="413">
        <v>50000</v>
      </c>
      <c r="G305" s="413">
        <f>F305/7.5345</f>
        <v>6636.1404207313026</v>
      </c>
      <c r="H305" s="413">
        <v>8000</v>
      </c>
      <c r="I305" s="582">
        <f>H305*7.5345</f>
        <v>60276</v>
      </c>
      <c r="J305" s="413">
        <v>9000</v>
      </c>
      <c r="K305" s="582">
        <f>J305*7.5345</f>
        <v>67810.5</v>
      </c>
      <c r="L305" s="413">
        <v>10000</v>
      </c>
      <c r="M305" s="582">
        <f>L305*7.5345</f>
        <v>75345</v>
      </c>
      <c r="N305" s="479">
        <f t="shared" si="220"/>
        <v>112.5</v>
      </c>
      <c r="O305" s="480">
        <f t="shared" si="222"/>
        <v>111.11111111111111</v>
      </c>
    </row>
    <row r="306" spans="1:15" ht="27.6" x14ac:dyDescent="0.25">
      <c r="A306" s="426"/>
      <c r="B306" s="493"/>
      <c r="C306" s="42"/>
      <c r="D306" s="421" t="s">
        <v>406</v>
      </c>
      <c r="E306" s="397"/>
      <c r="F306" s="396"/>
      <c r="G306" s="396"/>
      <c r="H306" s="396" t="s">
        <v>620</v>
      </c>
      <c r="I306" s="577"/>
      <c r="J306" s="396"/>
      <c r="K306" s="577"/>
      <c r="L306" s="396"/>
      <c r="M306" s="577"/>
      <c r="N306" s="942">
        <f>AVERAGE(J308/H308*100)</f>
        <v>141.66666666666669</v>
      </c>
      <c r="O306" s="944">
        <f>AVERAGE(L308/J308*100)</f>
        <v>88.235294117647058</v>
      </c>
    </row>
    <row r="307" spans="1:15" ht="13.8" x14ac:dyDescent="0.25">
      <c r="A307" s="426"/>
      <c r="B307" s="493"/>
      <c r="C307" s="42"/>
      <c r="D307" s="420" t="s">
        <v>682</v>
      </c>
      <c r="E307" s="387"/>
      <c r="F307" s="396"/>
      <c r="G307" s="396"/>
      <c r="H307" s="396"/>
      <c r="I307" s="577"/>
      <c r="J307" s="396"/>
      <c r="K307" s="577"/>
      <c r="L307" s="396"/>
      <c r="M307" s="577"/>
      <c r="N307" s="943"/>
      <c r="O307" s="945"/>
    </row>
    <row r="308" spans="1:15" ht="31.2" x14ac:dyDescent="0.3">
      <c r="A308" s="458"/>
      <c r="B308" s="494"/>
      <c r="C308" s="117"/>
      <c r="D308" s="464" t="s">
        <v>623</v>
      </c>
      <c r="E308" s="459">
        <v>30000</v>
      </c>
      <c r="F308" s="457">
        <f t="shared" ref="F308:L308" si="224">SUM(F309+F313)</f>
        <v>45000</v>
      </c>
      <c r="G308" s="457">
        <f t="shared" si="224"/>
        <v>5972.5263786581727</v>
      </c>
      <c r="H308" s="457">
        <f t="shared" si="224"/>
        <v>12000</v>
      </c>
      <c r="I308" s="457">
        <f t="shared" si="224"/>
        <v>90414</v>
      </c>
      <c r="J308" s="457">
        <f t="shared" si="224"/>
        <v>17000</v>
      </c>
      <c r="K308" s="457">
        <f t="shared" si="224"/>
        <v>128086.5</v>
      </c>
      <c r="L308" s="457">
        <f t="shared" si="224"/>
        <v>15000</v>
      </c>
      <c r="M308" s="578">
        <f t="shared" ref="M308" si="225">SUM(M309+M313)</f>
        <v>113017.5</v>
      </c>
      <c r="N308" s="943"/>
      <c r="O308" s="945"/>
    </row>
    <row r="309" spans="1:15" s="117" customFormat="1" ht="15.6" x14ac:dyDescent="0.3">
      <c r="A309" s="382" t="s">
        <v>460</v>
      </c>
      <c r="B309" s="489"/>
      <c r="C309" s="378">
        <v>32</v>
      </c>
      <c r="D309" s="389" t="s">
        <v>180</v>
      </c>
      <c r="E309" s="386">
        <v>30000</v>
      </c>
      <c r="F309" s="386">
        <f t="shared" ref="F309:M309" si="226">SUM(F310)</f>
        <v>45000</v>
      </c>
      <c r="G309" s="386">
        <f t="shared" si="226"/>
        <v>5972.5263786581727</v>
      </c>
      <c r="H309" s="386">
        <f t="shared" si="226"/>
        <v>12000</v>
      </c>
      <c r="I309" s="386">
        <f t="shared" si="226"/>
        <v>90414</v>
      </c>
      <c r="J309" s="386">
        <f t="shared" si="226"/>
        <v>17000</v>
      </c>
      <c r="K309" s="386">
        <f t="shared" si="226"/>
        <v>128086.5</v>
      </c>
      <c r="L309" s="386">
        <f t="shared" si="226"/>
        <v>15000</v>
      </c>
      <c r="M309" s="581">
        <f t="shared" si="226"/>
        <v>113017.5</v>
      </c>
      <c r="N309" s="409">
        <f t="shared" ref="N309:N315" si="227">AVERAGE(J309/H309*100)</f>
        <v>141.66666666666669</v>
      </c>
      <c r="O309" s="427">
        <f>AVERAGE(L309/J309*100)</f>
        <v>88.235294117647058</v>
      </c>
    </row>
    <row r="310" spans="1:15" s="29" customFormat="1" ht="14.4" thickBot="1" x14ac:dyDescent="0.3">
      <c r="A310" s="379" t="s">
        <v>460</v>
      </c>
      <c r="B310" s="488"/>
      <c r="C310" s="391">
        <v>323</v>
      </c>
      <c r="D310" s="392" t="s">
        <v>56</v>
      </c>
      <c r="E310" s="387">
        <v>30000</v>
      </c>
      <c r="F310" s="387">
        <f t="shared" ref="F310:L310" si="228">SUM(F311:F312)</f>
        <v>45000</v>
      </c>
      <c r="G310" s="387">
        <f t="shared" si="228"/>
        <v>5972.5263786581727</v>
      </c>
      <c r="H310" s="387">
        <f t="shared" si="228"/>
        <v>12000</v>
      </c>
      <c r="I310" s="387">
        <f t="shared" si="228"/>
        <v>90414</v>
      </c>
      <c r="J310" s="387">
        <f t="shared" si="228"/>
        <v>17000</v>
      </c>
      <c r="K310" s="387">
        <f t="shared" si="228"/>
        <v>128086.5</v>
      </c>
      <c r="L310" s="387">
        <f t="shared" si="228"/>
        <v>15000</v>
      </c>
      <c r="M310" s="580">
        <f t="shared" ref="M310" si="229">SUM(M311:M312)</f>
        <v>113017.5</v>
      </c>
      <c r="N310" s="409">
        <f t="shared" si="227"/>
        <v>141.66666666666669</v>
      </c>
      <c r="O310" s="427">
        <f t="shared" ref="O310:O312" si="230">AVERAGE(L310/J310*100)</f>
        <v>88.235294117647058</v>
      </c>
    </row>
    <row r="311" spans="1:15" ht="13.8" hidden="1" x14ac:dyDescent="0.25">
      <c r="A311" s="379" t="s">
        <v>460</v>
      </c>
      <c r="B311" s="488"/>
      <c r="C311" s="391">
        <v>3234</v>
      </c>
      <c r="D311" s="392" t="s">
        <v>408</v>
      </c>
      <c r="E311" s="387"/>
      <c r="F311" s="387">
        <v>25000</v>
      </c>
      <c r="G311" s="387">
        <f>F311/7.5345</f>
        <v>3318.0702103656513</v>
      </c>
      <c r="H311" s="387">
        <v>7000</v>
      </c>
      <c r="I311" s="580">
        <f>H311*7.5345</f>
        <v>52741.5</v>
      </c>
      <c r="J311" s="387">
        <v>7000</v>
      </c>
      <c r="K311" s="580">
        <f>J311*7.5345</f>
        <v>52741.5</v>
      </c>
      <c r="L311" s="387">
        <v>7000</v>
      </c>
      <c r="M311" s="580">
        <f>L311*7.5345</f>
        <v>52741.5</v>
      </c>
      <c r="N311" s="409">
        <f t="shared" si="227"/>
        <v>100</v>
      </c>
      <c r="O311" s="427">
        <f t="shared" si="230"/>
        <v>100</v>
      </c>
    </row>
    <row r="312" spans="1:15" ht="14.4" hidden="1" thickBot="1" x14ac:dyDescent="0.3">
      <c r="A312" s="432" t="s">
        <v>460</v>
      </c>
      <c r="B312" s="490"/>
      <c r="C312" s="411">
        <v>3232</v>
      </c>
      <c r="D312" s="412" t="s">
        <v>242</v>
      </c>
      <c r="E312" s="413">
        <v>30000</v>
      </c>
      <c r="F312" s="413">
        <v>20000</v>
      </c>
      <c r="G312" s="413">
        <f>F312/7.5345</f>
        <v>2654.4561682925209</v>
      </c>
      <c r="H312" s="413">
        <v>5000</v>
      </c>
      <c r="I312" s="582">
        <f>H312*7.5345</f>
        <v>37672.5</v>
      </c>
      <c r="J312" s="413">
        <v>10000</v>
      </c>
      <c r="K312" s="582">
        <f>J312*7.5345</f>
        <v>75345</v>
      </c>
      <c r="L312" s="413">
        <v>8000</v>
      </c>
      <c r="M312" s="582">
        <f>L312*7.5345</f>
        <v>60276</v>
      </c>
      <c r="N312" s="479">
        <f t="shared" si="227"/>
        <v>200</v>
      </c>
      <c r="O312" s="480">
        <f t="shared" si="230"/>
        <v>80</v>
      </c>
    </row>
    <row r="313" spans="1:15" ht="14.4" hidden="1" thickTop="1" x14ac:dyDescent="0.25">
      <c r="A313" s="481" t="s">
        <v>461</v>
      </c>
      <c r="B313" s="487"/>
      <c r="C313" s="416">
        <v>42</v>
      </c>
      <c r="D313" s="393" t="s">
        <v>250</v>
      </c>
      <c r="E313" s="405">
        <v>66500</v>
      </c>
      <c r="F313" s="579">
        <f t="shared" ref="F313:M314" si="231">SUM(F314)</f>
        <v>0</v>
      </c>
      <c r="G313" s="579">
        <f t="shared" si="231"/>
        <v>0</v>
      </c>
      <c r="H313" s="405">
        <f t="shared" si="231"/>
        <v>0</v>
      </c>
      <c r="I313" s="579">
        <f t="shared" si="231"/>
        <v>0</v>
      </c>
      <c r="J313" s="405">
        <f t="shared" si="231"/>
        <v>0</v>
      </c>
      <c r="K313" s="579">
        <f t="shared" si="231"/>
        <v>0</v>
      </c>
      <c r="L313" s="405">
        <f t="shared" si="231"/>
        <v>0</v>
      </c>
      <c r="M313" s="579">
        <f t="shared" si="231"/>
        <v>0</v>
      </c>
      <c r="N313" s="409" t="e">
        <f t="shared" si="227"/>
        <v>#DIV/0!</v>
      </c>
      <c r="O313" s="427">
        <v>0</v>
      </c>
    </row>
    <row r="314" spans="1:15" s="415" customFormat="1" ht="14.4" hidden="1" thickBot="1" x14ac:dyDescent="0.3">
      <c r="A314" s="379" t="s">
        <v>461</v>
      </c>
      <c r="B314" s="488"/>
      <c r="C314" s="391">
        <v>421</v>
      </c>
      <c r="D314" s="392" t="s">
        <v>97</v>
      </c>
      <c r="E314" s="387">
        <v>66500</v>
      </c>
      <c r="F314" s="580">
        <f t="shared" si="231"/>
        <v>0</v>
      </c>
      <c r="G314" s="580">
        <f t="shared" si="231"/>
        <v>0</v>
      </c>
      <c r="H314" s="387">
        <f t="shared" si="231"/>
        <v>0</v>
      </c>
      <c r="I314" s="580">
        <f t="shared" si="231"/>
        <v>0</v>
      </c>
      <c r="J314" s="387">
        <f t="shared" si="231"/>
        <v>0</v>
      </c>
      <c r="K314" s="580">
        <f t="shared" si="231"/>
        <v>0</v>
      </c>
      <c r="L314" s="387">
        <f t="shared" si="231"/>
        <v>0</v>
      </c>
      <c r="M314" s="580">
        <f t="shared" si="231"/>
        <v>0</v>
      </c>
      <c r="N314" s="409" t="e">
        <f t="shared" si="227"/>
        <v>#DIV/0!</v>
      </c>
      <c r="O314" s="428">
        <v>0</v>
      </c>
    </row>
    <row r="315" spans="1:15" s="117" customFormat="1" ht="16.8" hidden="1" thickTop="1" thickBot="1" x14ac:dyDescent="0.35">
      <c r="A315" s="432" t="s">
        <v>461</v>
      </c>
      <c r="B315" s="490"/>
      <c r="C315" s="411">
        <v>4214</v>
      </c>
      <c r="D315" s="412" t="s">
        <v>411</v>
      </c>
      <c r="E315" s="413">
        <v>66500</v>
      </c>
      <c r="F315" s="582">
        <v>0</v>
      </c>
      <c r="G315" s="582">
        <v>0</v>
      </c>
      <c r="H315" s="413">
        <v>0</v>
      </c>
      <c r="I315" s="582">
        <v>0</v>
      </c>
      <c r="J315" s="413">
        <v>0</v>
      </c>
      <c r="K315" s="582">
        <v>0</v>
      </c>
      <c r="L315" s="413">
        <v>0</v>
      </c>
      <c r="M315" s="582">
        <v>0</v>
      </c>
      <c r="N315" s="409" t="e">
        <f t="shared" si="227"/>
        <v>#DIV/0!</v>
      </c>
      <c r="O315" s="431">
        <v>0</v>
      </c>
    </row>
    <row r="316" spans="1:15" s="29" customFormat="1" ht="27.6" x14ac:dyDescent="0.25">
      <c r="A316" s="426"/>
      <c r="B316" s="493"/>
      <c r="C316" s="42"/>
      <c r="D316" s="421" t="s">
        <v>406</v>
      </c>
      <c r="E316" s="397"/>
      <c r="F316" s="396"/>
      <c r="G316" s="396"/>
      <c r="H316" s="396"/>
      <c r="I316" s="577"/>
      <c r="J316" s="396"/>
      <c r="K316" s="577"/>
      <c r="L316" s="396"/>
      <c r="M316" s="577"/>
      <c r="N316" s="942">
        <f>AVERAGE(J318/H318*100)</f>
        <v>100</v>
      </c>
      <c r="O316" s="944">
        <f>AVERAGE(L318/J318*100)</f>
        <v>100</v>
      </c>
    </row>
    <row r="317" spans="1:15" ht="13.8" x14ac:dyDescent="0.25">
      <c r="A317" s="426"/>
      <c r="B317" s="493"/>
      <c r="C317" s="42"/>
      <c r="D317" s="420" t="s">
        <v>244</v>
      </c>
      <c r="E317" s="387"/>
      <c r="F317" s="396"/>
      <c r="G317" s="396"/>
      <c r="H317" s="396"/>
      <c r="I317" s="577"/>
      <c r="J317" s="396"/>
      <c r="K317" s="577"/>
      <c r="L317" s="396"/>
      <c r="M317" s="577"/>
      <c r="N317" s="943"/>
      <c r="O317" s="945"/>
    </row>
    <row r="318" spans="1:15" ht="15.6" x14ac:dyDescent="0.3">
      <c r="A318" s="458"/>
      <c r="B318" s="494"/>
      <c r="C318" s="117"/>
      <c r="D318" s="464" t="s">
        <v>437</v>
      </c>
      <c r="E318" s="459">
        <v>350000</v>
      </c>
      <c r="F318" s="457">
        <f t="shared" ref="F318:M320" si="232">SUM(F319)</f>
        <v>215000</v>
      </c>
      <c r="G318" s="457">
        <f t="shared" si="232"/>
        <v>28535.403809144598</v>
      </c>
      <c r="H318" s="457">
        <f>SUM(H319)</f>
        <v>50000</v>
      </c>
      <c r="I318" s="457">
        <f t="shared" ref="I318:L318" si="233">SUM(I319)</f>
        <v>376725</v>
      </c>
      <c r="J318" s="457">
        <f t="shared" si="233"/>
        <v>50000</v>
      </c>
      <c r="K318" s="457">
        <f t="shared" si="233"/>
        <v>376725</v>
      </c>
      <c r="L318" s="457">
        <f t="shared" si="233"/>
        <v>50000</v>
      </c>
      <c r="M318" s="578">
        <f t="shared" si="232"/>
        <v>376725</v>
      </c>
      <c r="N318" s="943"/>
      <c r="O318" s="945"/>
    </row>
    <row r="319" spans="1:15" ht="13.8" x14ac:dyDescent="0.25">
      <c r="A319" s="382" t="s">
        <v>564</v>
      </c>
      <c r="B319" s="489"/>
      <c r="C319" s="378">
        <v>32</v>
      </c>
      <c r="D319" s="389" t="s">
        <v>180</v>
      </c>
      <c r="E319" s="386">
        <v>350000</v>
      </c>
      <c r="F319" s="386">
        <f t="shared" si="232"/>
        <v>215000</v>
      </c>
      <c r="G319" s="386">
        <f t="shared" si="232"/>
        <v>28535.403809144598</v>
      </c>
      <c r="H319" s="386">
        <f t="shared" si="232"/>
        <v>50000</v>
      </c>
      <c r="I319" s="386">
        <f t="shared" si="232"/>
        <v>376725</v>
      </c>
      <c r="J319" s="386">
        <f t="shared" si="232"/>
        <v>50000</v>
      </c>
      <c r="K319" s="386">
        <f t="shared" si="232"/>
        <v>376725</v>
      </c>
      <c r="L319" s="386">
        <f t="shared" si="232"/>
        <v>50000</v>
      </c>
      <c r="M319" s="581">
        <f t="shared" si="232"/>
        <v>376725</v>
      </c>
      <c r="N319" s="409">
        <f t="shared" ref="N319:N321" si="234">AVERAGE(J319/H319*100)</f>
        <v>100</v>
      </c>
      <c r="O319" s="427">
        <f>AVERAGE(L319/J319*100)</f>
        <v>100</v>
      </c>
    </row>
    <row r="320" spans="1:15" s="415" customFormat="1" ht="14.4" thickBot="1" x14ac:dyDescent="0.3">
      <c r="A320" s="379" t="s">
        <v>564</v>
      </c>
      <c r="B320" s="488"/>
      <c r="C320" s="391">
        <v>323</v>
      </c>
      <c r="D320" s="392" t="s">
        <v>56</v>
      </c>
      <c r="E320" s="387">
        <v>350000</v>
      </c>
      <c r="F320" s="387">
        <f t="shared" si="232"/>
        <v>215000</v>
      </c>
      <c r="G320" s="387">
        <f t="shared" si="232"/>
        <v>28535.403809144598</v>
      </c>
      <c r="H320" s="387">
        <f>SUM(H321)</f>
        <v>50000</v>
      </c>
      <c r="I320" s="387">
        <f t="shared" si="232"/>
        <v>376725</v>
      </c>
      <c r="J320" s="387">
        <f t="shared" si="232"/>
        <v>50000</v>
      </c>
      <c r="K320" s="387">
        <f t="shared" si="232"/>
        <v>376725</v>
      </c>
      <c r="L320" s="387">
        <f t="shared" si="232"/>
        <v>50000</v>
      </c>
      <c r="M320" s="580">
        <f t="shared" si="232"/>
        <v>376725</v>
      </c>
      <c r="N320" s="409">
        <f t="shared" si="234"/>
        <v>100</v>
      </c>
      <c r="O320" s="427">
        <f t="shared" ref="O320:O321" si="235">AVERAGE(L320/J320*100)</f>
        <v>100</v>
      </c>
    </row>
    <row r="321" spans="1:15" s="587" customFormat="1" ht="16.8" hidden="1" thickTop="1" thickBot="1" x14ac:dyDescent="0.35">
      <c r="A321" s="432" t="s">
        <v>564</v>
      </c>
      <c r="B321" s="490"/>
      <c r="C321" s="411">
        <v>3232</v>
      </c>
      <c r="D321" s="412" t="s">
        <v>242</v>
      </c>
      <c r="E321" s="413">
        <v>350000</v>
      </c>
      <c r="F321" s="413">
        <v>215000</v>
      </c>
      <c r="G321" s="413">
        <f>F321/7.5345</f>
        <v>28535.403809144598</v>
      </c>
      <c r="H321" s="413">
        <v>50000</v>
      </c>
      <c r="I321" s="582">
        <f>H321*7.5345</f>
        <v>376725</v>
      </c>
      <c r="J321" s="413">
        <v>50000</v>
      </c>
      <c r="K321" s="582">
        <f>J321*7.5345</f>
        <v>376725</v>
      </c>
      <c r="L321" s="413">
        <v>50000</v>
      </c>
      <c r="M321" s="582">
        <f>L321*7.5345</f>
        <v>376725</v>
      </c>
      <c r="N321" s="479">
        <f t="shared" si="234"/>
        <v>100</v>
      </c>
      <c r="O321" s="480">
        <f t="shared" si="235"/>
        <v>100</v>
      </c>
    </row>
    <row r="322" spans="1:15" s="29" customFormat="1" ht="28.2" thickTop="1" x14ac:dyDescent="0.25">
      <c r="A322" s="426"/>
      <c r="B322" s="493"/>
      <c r="C322" s="42"/>
      <c r="D322" s="421" t="s">
        <v>406</v>
      </c>
      <c r="E322" s="397"/>
      <c r="F322" s="396"/>
      <c r="G322" s="396"/>
      <c r="H322" s="396"/>
      <c r="I322" s="577"/>
      <c r="J322" s="396"/>
      <c r="K322" s="577"/>
      <c r="L322" s="396"/>
      <c r="M322" s="577"/>
      <c r="N322" s="942">
        <f>AVERAGE(J324/H324*100)</f>
        <v>62.5</v>
      </c>
      <c r="O322" s="944">
        <f>AVERAGE(L324/J324*100)</f>
        <v>100</v>
      </c>
    </row>
    <row r="323" spans="1:15" ht="13.8" x14ac:dyDescent="0.25">
      <c r="A323" s="426"/>
      <c r="B323" s="493"/>
      <c r="C323" s="42"/>
      <c r="D323" s="420" t="s">
        <v>682</v>
      </c>
      <c r="E323" s="387"/>
      <c r="F323" s="396"/>
      <c r="G323" s="396"/>
      <c r="H323" s="396"/>
      <c r="I323" s="577"/>
      <c r="J323" s="396"/>
      <c r="K323" s="577"/>
      <c r="L323" s="396"/>
      <c r="M323" s="577"/>
      <c r="N323" s="943"/>
      <c r="O323" s="945"/>
    </row>
    <row r="324" spans="1:15" ht="15.6" x14ac:dyDescent="0.3">
      <c r="A324" s="458"/>
      <c r="B324" s="494"/>
      <c r="C324" s="117"/>
      <c r="D324" s="464" t="s">
        <v>645</v>
      </c>
      <c r="E324" s="459">
        <v>750000</v>
      </c>
      <c r="F324" s="457">
        <f t="shared" ref="F324:M326" si="236">SUM(F325)</f>
        <v>400000</v>
      </c>
      <c r="G324" s="457">
        <f t="shared" si="236"/>
        <v>53089.123365850421</v>
      </c>
      <c r="H324" s="457">
        <f t="shared" si="236"/>
        <v>80000</v>
      </c>
      <c r="I324" s="457">
        <f t="shared" si="236"/>
        <v>602760</v>
      </c>
      <c r="J324" s="457">
        <f t="shared" si="236"/>
        <v>50000</v>
      </c>
      <c r="K324" s="457">
        <f t="shared" si="236"/>
        <v>376725</v>
      </c>
      <c r="L324" s="457">
        <f t="shared" si="236"/>
        <v>50000</v>
      </c>
      <c r="M324" s="578">
        <f t="shared" si="236"/>
        <v>376725</v>
      </c>
      <c r="N324" s="943"/>
      <c r="O324" s="945"/>
    </row>
    <row r="325" spans="1:15" ht="13.8" x14ac:dyDescent="0.25">
      <c r="A325" s="382" t="s">
        <v>565</v>
      </c>
      <c r="B325" s="489"/>
      <c r="C325" s="378">
        <v>32</v>
      </c>
      <c r="D325" s="389" t="s">
        <v>180</v>
      </c>
      <c r="E325" s="386">
        <v>750000</v>
      </c>
      <c r="F325" s="386">
        <f t="shared" si="236"/>
        <v>400000</v>
      </c>
      <c r="G325" s="386">
        <f t="shared" si="236"/>
        <v>53089.123365850421</v>
      </c>
      <c r="H325" s="386">
        <f t="shared" si="236"/>
        <v>80000</v>
      </c>
      <c r="I325" s="386">
        <f t="shared" si="236"/>
        <v>602760</v>
      </c>
      <c r="J325" s="386">
        <f t="shared" si="236"/>
        <v>50000</v>
      </c>
      <c r="K325" s="386">
        <f t="shared" si="236"/>
        <v>376725</v>
      </c>
      <c r="L325" s="386">
        <f t="shared" si="236"/>
        <v>50000</v>
      </c>
      <c r="M325" s="581">
        <f t="shared" si="236"/>
        <v>376725</v>
      </c>
      <c r="N325" s="409">
        <f t="shared" ref="N325:N327" si="237">AVERAGE(J325/H325*100)</f>
        <v>62.5</v>
      </c>
      <c r="O325" s="427">
        <f>AVERAGE(L325/J325*100)</f>
        <v>100</v>
      </c>
    </row>
    <row r="326" spans="1:15" s="415" customFormat="1" ht="14.4" thickBot="1" x14ac:dyDescent="0.3">
      <c r="A326" s="379" t="s">
        <v>565</v>
      </c>
      <c r="B326" s="488"/>
      <c r="C326" s="391">
        <v>323</v>
      </c>
      <c r="D326" s="392" t="s">
        <v>56</v>
      </c>
      <c r="E326" s="387">
        <v>750000</v>
      </c>
      <c r="F326" s="387">
        <f t="shared" si="236"/>
        <v>400000</v>
      </c>
      <c r="G326" s="387">
        <f t="shared" si="236"/>
        <v>53089.123365850421</v>
      </c>
      <c r="H326" s="387">
        <f t="shared" si="236"/>
        <v>80000</v>
      </c>
      <c r="I326" s="387">
        <f t="shared" si="236"/>
        <v>602760</v>
      </c>
      <c r="J326" s="387">
        <f t="shared" si="236"/>
        <v>50000</v>
      </c>
      <c r="K326" s="387">
        <f t="shared" si="236"/>
        <v>376725</v>
      </c>
      <c r="L326" s="387">
        <f t="shared" si="236"/>
        <v>50000</v>
      </c>
      <c r="M326" s="580">
        <f t="shared" si="236"/>
        <v>376725</v>
      </c>
      <c r="N326" s="409">
        <f t="shared" si="237"/>
        <v>62.5</v>
      </c>
      <c r="O326" s="427">
        <f t="shared" ref="O326:O327" si="238">AVERAGE(L326/J326*100)</f>
        <v>100</v>
      </c>
    </row>
    <row r="327" spans="1:15" s="117" customFormat="1" ht="16.8" hidden="1" thickTop="1" thickBot="1" x14ac:dyDescent="0.35">
      <c r="A327" s="432" t="s">
        <v>565</v>
      </c>
      <c r="B327" s="490"/>
      <c r="C327" s="411">
        <v>3232</v>
      </c>
      <c r="D327" s="412" t="s">
        <v>242</v>
      </c>
      <c r="E327" s="413">
        <v>750000</v>
      </c>
      <c r="F327" s="413">
        <v>400000</v>
      </c>
      <c r="G327" s="413">
        <f>F327/7.5345</f>
        <v>53089.123365850421</v>
      </c>
      <c r="H327" s="413">
        <v>80000</v>
      </c>
      <c r="I327" s="582">
        <f>H327*7.5345</f>
        <v>602760</v>
      </c>
      <c r="J327" s="413">
        <v>50000</v>
      </c>
      <c r="K327" s="582">
        <f>J327*7.5345</f>
        <v>376725</v>
      </c>
      <c r="L327" s="413">
        <v>50000</v>
      </c>
      <c r="M327" s="582">
        <f>L327*7.5345</f>
        <v>376725</v>
      </c>
      <c r="N327" s="479">
        <f t="shared" si="237"/>
        <v>62.5</v>
      </c>
      <c r="O327" s="480">
        <f t="shared" si="238"/>
        <v>100</v>
      </c>
    </row>
    <row r="328" spans="1:15" s="29" customFormat="1" ht="28.2" thickTop="1" x14ac:dyDescent="0.25">
      <c r="A328" s="426"/>
      <c r="B328" s="493"/>
      <c r="C328" s="42"/>
      <c r="D328" s="421" t="s">
        <v>406</v>
      </c>
      <c r="E328" s="397"/>
      <c r="F328" s="396"/>
      <c r="G328" s="396"/>
      <c r="H328" s="396"/>
      <c r="I328" s="577"/>
      <c r="J328" s="396"/>
      <c r="K328" s="577"/>
      <c r="L328" s="396"/>
      <c r="M328" s="577"/>
      <c r="N328" s="942">
        <f>AVERAGE(J330/H330*100)</f>
        <v>150</v>
      </c>
      <c r="O328" s="944">
        <f>AVERAGE(L330/J330*100)</f>
        <v>83.333333333333343</v>
      </c>
    </row>
    <row r="329" spans="1:15" ht="13.8" x14ac:dyDescent="0.25">
      <c r="A329" s="426"/>
      <c r="B329" s="493"/>
      <c r="C329" s="42"/>
      <c r="D329" s="420" t="s">
        <v>682</v>
      </c>
      <c r="E329" s="387"/>
      <c r="F329" s="396"/>
      <c r="G329" s="396"/>
      <c r="H329" s="396"/>
      <c r="I329" s="577"/>
      <c r="J329" s="396"/>
      <c r="K329" s="577"/>
      <c r="L329" s="396"/>
      <c r="M329" s="577"/>
      <c r="N329" s="943"/>
      <c r="O329" s="945"/>
    </row>
    <row r="330" spans="1:15" ht="15.6" x14ac:dyDescent="0.3">
      <c r="A330" s="458"/>
      <c r="B330" s="494"/>
      <c r="C330" s="117"/>
      <c r="D330" s="464" t="s">
        <v>646</v>
      </c>
      <c r="E330" s="459">
        <v>120000</v>
      </c>
      <c r="F330" s="457">
        <f t="shared" ref="F330:M332" si="239">SUM(F331)</f>
        <v>100000</v>
      </c>
      <c r="G330" s="457">
        <f t="shared" si="239"/>
        <v>13272.280841462605</v>
      </c>
      <c r="H330" s="457">
        <f t="shared" si="239"/>
        <v>40000</v>
      </c>
      <c r="I330" s="457">
        <f t="shared" si="239"/>
        <v>301380</v>
      </c>
      <c r="J330" s="457">
        <f t="shared" si="239"/>
        <v>60000</v>
      </c>
      <c r="K330" s="457">
        <f t="shared" si="239"/>
        <v>452070</v>
      </c>
      <c r="L330" s="457">
        <f t="shared" si="239"/>
        <v>50000</v>
      </c>
      <c r="M330" s="578">
        <f t="shared" si="239"/>
        <v>376725</v>
      </c>
      <c r="N330" s="943"/>
      <c r="O330" s="945"/>
    </row>
    <row r="331" spans="1:15" ht="13.8" x14ac:dyDescent="0.25">
      <c r="A331" s="382" t="s">
        <v>566</v>
      </c>
      <c r="B331" s="489"/>
      <c r="C331" s="378">
        <v>32</v>
      </c>
      <c r="D331" s="389" t="s">
        <v>180</v>
      </c>
      <c r="E331" s="386">
        <v>120000</v>
      </c>
      <c r="F331" s="386">
        <f t="shared" si="239"/>
        <v>100000</v>
      </c>
      <c r="G331" s="386">
        <f t="shared" si="239"/>
        <v>13272.280841462605</v>
      </c>
      <c r="H331" s="386">
        <f t="shared" si="239"/>
        <v>40000</v>
      </c>
      <c r="I331" s="386">
        <f t="shared" si="239"/>
        <v>301380</v>
      </c>
      <c r="J331" s="386">
        <f t="shared" si="239"/>
        <v>60000</v>
      </c>
      <c r="K331" s="386">
        <f t="shared" si="239"/>
        <v>452070</v>
      </c>
      <c r="L331" s="386">
        <f t="shared" si="239"/>
        <v>50000</v>
      </c>
      <c r="M331" s="581">
        <f t="shared" si="239"/>
        <v>376725</v>
      </c>
      <c r="N331" s="409">
        <f t="shared" ref="N331:N333" si="240">AVERAGE(J331/H331*100)</f>
        <v>150</v>
      </c>
      <c r="O331" s="427">
        <f>AVERAGE(L331/J331*100)</f>
        <v>83.333333333333343</v>
      </c>
    </row>
    <row r="332" spans="1:15" s="415" customFormat="1" ht="14.4" thickBot="1" x14ac:dyDescent="0.3">
      <c r="A332" s="379" t="s">
        <v>566</v>
      </c>
      <c r="B332" s="488"/>
      <c r="C332" s="391">
        <v>323</v>
      </c>
      <c r="D332" s="392" t="s">
        <v>56</v>
      </c>
      <c r="E332" s="387">
        <v>120000</v>
      </c>
      <c r="F332" s="387">
        <f t="shared" si="239"/>
        <v>100000</v>
      </c>
      <c r="G332" s="387">
        <f t="shared" si="239"/>
        <v>13272.280841462605</v>
      </c>
      <c r="H332" s="387">
        <f t="shared" si="239"/>
        <v>40000</v>
      </c>
      <c r="I332" s="387">
        <f t="shared" si="239"/>
        <v>301380</v>
      </c>
      <c r="J332" s="387">
        <f t="shared" si="239"/>
        <v>60000</v>
      </c>
      <c r="K332" s="387">
        <f t="shared" si="239"/>
        <v>452070</v>
      </c>
      <c r="L332" s="387">
        <f t="shared" si="239"/>
        <v>50000</v>
      </c>
      <c r="M332" s="580">
        <f t="shared" si="239"/>
        <v>376725</v>
      </c>
      <c r="N332" s="409">
        <f t="shared" si="240"/>
        <v>150</v>
      </c>
      <c r="O332" s="427">
        <f t="shared" ref="O332:O333" si="241">AVERAGE(L332/J332*100)</f>
        <v>83.333333333333343</v>
      </c>
    </row>
    <row r="333" spans="1:15" s="117" customFormat="1" ht="16.8" hidden="1" thickTop="1" thickBot="1" x14ac:dyDescent="0.35">
      <c r="A333" s="432" t="s">
        <v>566</v>
      </c>
      <c r="B333" s="490"/>
      <c r="C333" s="411">
        <v>3232</v>
      </c>
      <c r="D333" s="412" t="s">
        <v>242</v>
      </c>
      <c r="E333" s="413">
        <v>120000</v>
      </c>
      <c r="F333" s="413">
        <v>100000</v>
      </c>
      <c r="G333" s="413">
        <f>F333/7.5345</f>
        <v>13272.280841462605</v>
      </c>
      <c r="H333" s="413">
        <v>40000</v>
      </c>
      <c r="I333" s="582">
        <f>H333*7.5345</f>
        <v>301380</v>
      </c>
      <c r="J333" s="413">
        <v>60000</v>
      </c>
      <c r="K333" s="582">
        <f>J333*7.5345</f>
        <v>452070</v>
      </c>
      <c r="L333" s="413">
        <v>50000</v>
      </c>
      <c r="M333" s="582">
        <f>L333*7.5345</f>
        <v>376725</v>
      </c>
      <c r="N333" s="479">
        <f t="shared" si="240"/>
        <v>150</v>
      </c>
      <c r="O333" s="480">
        <f t="shared" si="241"/>
        <v>83.333333333333343</v>
      </c>
    </row>
    <row r="334" spans="1:15" s="29" customFormat="1" ht="28.2" thickTop="1" x14ac:dyDescent="0.25">
      <c r="A334" s="426"/>
      <c r="B334" s="493"/>
      <c r="C334" s="42"/>
      <c r="D334" s="421" t="s">
        <v>406</v>
      </c>
      <c r="E334" s="397"/>
      <c r="F334" s="396"/>
      <c r="G334" s="396"/>
      <c r="H334" s="396"/>
      <c r="I334" s="577"/>
      <c r="J334" s="396"/>
      <c r="K334" s="577"/>
      <c r="L334" s="396"/>
      <c r="M334" s="577"/>
      <c r="N334" s="942">
        <f>AVERAGE(J336/H336*100)</f>
        <v>125</v>
      </c>
      <c r="O334" s="944">
        <f>AVERAGE(L336/J336*100)</f>
        <v>100</v>
      </c>
    </row>
    <row r="335" spans="1:15" ht="13.8" x14ac:dyDescent="0.25">
      <c r="A335" s="426"/>
      <c r="B335" s="493"/>
      <c r="C335" s="42"/>
      <c r="D335" s="420" t="s">
        <v>678</v>
      </c>
      <c r="E335" s="387"/>
      <c r="F335" s="396"/>
      <c r="G335" s="396"/>
      <c r="H335" s="396"/>
      <c r="I335" s="577"/>
      <c r="J335" s="396"/>
      <c r="K335" s="577"/>
      <c r="L335" s="396"/>
      <c r="M335" s="577"/>
      <c r="N335" s="943"/>
      <c r="O335" s="945"/>
    </row>
    <row r="336" spans="1:15" ht="15.6" x14ac:dyDescent="0.3">
      <c r="A336" s="458"/>
      <c r="B336" s="494"/>
      <c r="C336" s="117"/>
      <c r="D336" s="464" t="s">
        <v>647</v>
      </c>
      <c r="E336" s="459">
        <v>50000</v>
      </c>
      <c r="F336" s="457">
        <f t="shared" ref="F336:M338" si="242">SUM(F337)</f>
        <v>150000</v>
      </c>
      <c r="G336" s="457">
        <f t="shared" si="242"/>
        <v>19908.421262193908</v>
      </c>
      <c r="H336" s="457">
        <f t="shared" si="242"/>
        <v>20000</v>
      </c>
      <c r="I336" s="457">
        <f t="shared" si="242"/>
        <v>150690</v>
      </c>
      <c r="J336" s="457">
        <f t="shared" si="242"/>
        <v>25000</v>
      </c>
      <c r="K336" s="457">
        <f t="shared" si="242"/>
        <v>188362.5</v>
      </c>
      <c r="L336" s="457">
        <f t="shared" si="242"/>
        <v>25000</v>
      </c>
      <c r="M336" s="578">
        <f t="shared" si="242"/>
        <v>188362.5</v>
      </c>
      <c r="N336" s="943"/>
      <c r="O336" s="945"/>
    </row>
    <row r="337" spans="1:15" ht="13.8" x14ac:dyDescent="0.25">
      <c r="A337" s="382" t="s">
        <v>567</v>
      </c>
      <c r="B337" s="489"/>
      <c r="C337" s="378">
        <v>32</v>
      </c>
      <c r="D337" s="389" t="s">
        <v>180</v>
      </c>
      <c r="E337" s="386">
        <v>50000</v>
      </c>
      <c r="F337" s="386">
        <f t="shared" si="242"/>
        <v>150000</v>
      </c>
      <c r="G337" s="386">
        <f t="shared" si="242"/>
        <v>19908.421262193908</v>
      </c>
      <c r="H337" s="386">
        <f t="shared" si="242"/>
        <v>20000</v>
      </c>
      <c r="I337" s="386">
        <f t="shared" si="242"/>
        <v>150690</v>
      </c>
      <c r="J337" s="386">
        <f t="shared" si="242"/>
        <v>25000</v>
      </c>
      <c r="K337" s="386">
        <f t="shared" si="242"/>
        <v>188362.5</v>
      </c>
      <c r="L337" s="386">
        <f t="shared" si="242"/>
        <v>25000</v>
      </c>
      <c r="M337" s="581">
        <f t="shared" si="242"/>
        <v>188362.5</v>
      </c>
      <c r="N337" s="409">
        <f t="shared" ref="N337:N339" si="243">AVERAGE(J337/H337*100)</f>
        <v>125</v>
      </c>
      <c r="O337" s="427">
        <f>AVERAGE(L337/J337*100)</f>
        <v>100</v>
      </c>
    </row>
    <row r="338" spans="1:15" s="415" customFormat="1" ht="14.4" thickBot="1" x14ac:dyDescent="0.3">
      <c r="A338" s="379" t="s">
        <v>567</v>
      </c>
      <c r="B338" s="488"/>
      <c r="C338" s="391">
        <v>323</v>
      </c>
      <c r="D338" s="392" t="s">
        <v>56</v>
      </c>
      <c r="E338" s="387">
        <v>50000</v>
      </c>
      <c r="F338" s="387">
        <f t="shared" si="242"/>
        <v>150000</v>
      </c>
      <c r="G338" s="387">
        <f t="shared" si="242"/>
        <v>19908.421262193908</v>
      </c>
      <c r="H338" s="387">
        <f t="shared" si="242"/>
        <v>20000</v>
      </c>
      <c r="I338" s="387">
        <f t="shared" si="242"/>
        <v>150690</v>
      </c>
      <c r="J338" s="387">
        <f t="shared" si="242"/>
        <v>25000</v>
      </c>
      <c r="K338" s="387">
        <f t="shared" si="242"/>
        <v>188362.5</v>
      </c>
      <c r="L338" s="387">
        <f t="shared" si="242"/>
        <v>25000</v>
      </c>
      <c r="M338" s="580">
        <f t="shared" si="242"/>
        <v>188362.5</v>
      </c>
      <c r="N338" s="409">
        <f t="shared" si="243"/>
        <v>125</v>
      </c>
      <c r="O338" s="427">
        <f t="shared" ref="O338:O339" si="244">AVERAGE(L338/J338*100)</f>
        <v>100</v>
      </c>
    </row>
    <row r="339" spans="1:15" s="117" customFormat="1" ht="16.8" hidden="1" thickTop="1" thickBot="1" x14ac:dyDescent="0.35">
      <c r="A339" s="432" t="s">
        <v>567</v>
      </c>
      <c r="B339" s="490"/>
      <c r="C339" s="411">
        <v>3232</v>
      </c>
      <c r="D339" s="412" t="s">
        <v>242</v>
      </c>
      <c r="E339" s="413">
        <v>50000</v>
      </c>
      <c r="F339" s="413">
        <v>150000</v>
      </c>
      <c r="G339" s="413">
        <f>F339/7.5345</f>
        <v>19908.421262193908</v>
      </c>
      <c r="H339" s="413">
        <v>20000</v>
      </c>
      <c r="I339" s="582">
        <f>H339*7.5345</f>
        <v>150690</v>
      </c>
      <c r="J339" s="413">
        <v>25000</v>
      </c>
      <c r="K339" s="582">
        <f>J339*7.5345</f>
        <v>188362.5</v>
      </c>
      <c r="L339" s="413">
        <v>25000</v>
      </c>
      <c r="M339" s="582">
        <f>L339*7.5345</f>
        <v>188362.5</v>
      </c>
      <c r="N339" s="479">
        <f t="shared" si="243"/>
        <v>125</v>
      </c>
      <c r="O339" s="480">
        <f t="shared" si="244"/>
        <v>100</v>
      </c>
    </row>
    <row r="340" spans="1:15" s="29" customFormat="1" ht="28.2" thickTop="1" x14ac:dyDescent="0.25">
      <c r="A340" s="426"/>
      <c r="B340" s="493"/>
      <c r="C340" s="42"/>
      <c r="D340" s="421" t="s">
        <v>406</v>
      </c>
      <c r="E340" s="397"/>
      <c r="F340" s="396"/>
      <c r="G340" s="396"/>
      <c r="H340" s="396"/>
      <c r="I340" s="577"/>
      <c r="J340" s="396"/>
      <c r="K340" s="577"/>
      <c r="L340" s="396"/>
      <c r="M340" s="577"/>
      <c r="N340" s="942">
        <f>AVERAGE(J342/H342*100)</f>
        <v>66.666666666666657</v>
      </c>
      <c r="O340" s="944">
        <f>AVERAGE(L342/J342*100)</f>
        <v>125</v>
      </c>
    </row>
    <row r="341" spans="1:15" ht="13.8" x14ac:dyDescent="0.25">
      <c r="A341" s="426"/>
      <c r="B341" s="493"/>
      <c r="C341" s="42"/>
      <c r="D341" s="420" t="s">
        <v>678</v>
      </c>
      <c r="E341" s="387"/>
      <c r="F341" s="396"/>
      <c r="G341" s="396"/>
      <c r="H341" s="396"/>
      <c r="I341" s="577"/>
      <c r="J341" s="396"/>
      <c r="K341" s="577"/>
      <c r="L341" s="396"/>
      <c r="M341" s="577"/>
      <c r="N341" s="943"/>
      <c r="O341" s="945"/>
    </row>
    <row r="342" spans="1:15" ht="31.2" x14ac:dyDescent="0.3">
      <c r="A342" s="458"/>
      <c r="B342" s="494"/>
      <c r="C342" s="117"/>
      <c r="D342" s="464" t="s">
        <v>669</v>
      </c>
      <c r="E342" s="459">
        <v>90000</v>
      </c>
      <c r="F342" s="457">
        <f t="shared" ref="F342:M344" si="245">SUM(F343)</f>
        <v>50000</v>
      </c>
      <c r="G342" s="457">
        <f t="shared" si="245"/>
        <v>6636.1404207313026</v>
      </c>
      <c r="H342" s="457">
        <f t="shared" si="245"/>
        <v>6000</v>
      </c>
      <c r="I342" s="457">
        <f t="shared" si="245"/>
        <v>45207</v>
      </c>
      <c r="J342" s="457">
        <f t="shared" si="245"/>
        <v>4000</v>
      </c>
      <c r="K342" s="457">
        <f t="shared" si="245"/>
        <v>30138</v>
      </c>
      <c r="L342" s="457">
        <f t="shared" si="245"/>
        <v>5000</v>
      </c>
      <c r="M342" s="578">
        <f t="shared" si="245"/>
        <v>37672.5</v>
      </c>
      <c r="N342" s="943"/>
      <c r="O342" s="945"/>
    </row>
    <row r="343" spans="1:15" ht="13.8" x14ac:dyDescent="0.25">
      <c r="A343" s="382" t="s">
        <v>568</v>
      </c>
      <c r="B343" s="489"/>
      <c r="C343" s="378">
        <v>32</v>
      </c>
      <c r="D343" s="389" t="s">
        <v>180</v>
      </c>
      <c r="E343" s="386">
        <v>90000</v>
      </c>
      <c r="F343" s="386">
        <f t="shared" si="245"/>
        <v>50000</v>
      </c>
      <c r="G343" s="386">
        <f t="shared" si="245"/>
        <v>6636.1404207313026</v>
      </c>
      <c r="H343" s="386">
        <f t="shared" si="245"/>
        <v>6000</v>
      </c>
      <c r="I343" s="386">
        <f t="shared" si="245"/>
        <v>45207</v>
      </c>
      <c r="J343" s="386">
        <f t="shared" si="245"/>
        <v>4000</v>
      </c>
      <c r="K343" s="386">
        <f t="shared" si="245"/>
        <v>30138</v>
      </c>
      <c r="L343" s="386">
        <f t="shared" si="245"/>
        <v>5000</v>
      </c>
      <c r="M343" s="581">
        <f t="shared" si="245"/>
        <v>37672.5</v>
      </c>
      <c r="N343" s="409">
        <f t="shared" ref="N343:N345" si="246">AVERAGE(J343/H343*100)</f>
        <v>66.666666666666657</v>
      </c>
      <c r="O343" s="427">
        <f>AVERAGE(L343/J343*100)</f>
        <v>125</v>
      </c>
    </row>
    <row r="344" spans="1:15" s="415" customFormat="1" ht="14.4" thickBot="1" x14ac:dyDescent="0.3">
      <c r="A344" s="379" t="s">
        <v>568</v>
      </c>
      <c r="B344" s="488"/>
      <c r="C344" s="391">
        <v>323</v>
      </c>
      <c r="D344" s="392" t="s">
        <v>56</v>
      </c>
      <c r="E344" s="387">
        <v>90000</v>
      </c>
      <c r="F344" s="387">
        <f t="shared" si="245"/>
        <v>50000</v>
      </c>
      <c r="G344" s="387">
        <f t="shared" si="245"/>
        <v>6636.1404207313026</v>
      </c>
      <c r="H344" s="387">
        <f t="shared" si="245"/>
        <v>6000</v>
      </c>
      <c r="I344" s="387">
        <f t="shared" si="245"/>
        <v>45207</v>
      </c>
      <c r="J344" s="387">
        <f t="shared" si="245"/>
        <v>4000</v>
      </c>
      <c r="K344" s="387">
        <f t="shared" si="245"/>
        <v>30138</v>
      </c>
      <c r="L344" s="387">
        <f t="shared" si="245"/>
        <v>5000</v>
      </c>
      <c r="M344" s="580">
        <f t="shared" si="245"/>
        <v>37672.5</v>
      </c>
      <c r="N344" s="409">
        <f t="shared" si="246"/>
        <v>66.666666666666657</v>
      </c>
      <c r="O344" s="427">
        <f t="shared" ref="O344:O345" si="247">AVERAGE(L344/J344*100)</f>
        <v>125</v>
      </c>
    </row>
    <row r="345" spans="1:15" s="447" customFormat="1" ht="18.600000000000001" hidden="1" thickTop="1" thickBot="1" x14ac:dyDescent="0.35">
      <c r="A345" s="432" t="s">
        <v>568</v>
      </c>
      <c r="B345" s="490"/>
      <c r="C345" s="411">
        <v>3232</v>
      </c>
      <c r="D345" s="412" t="s">
        <v>242</v>
      </c>
      <c r="E345" s="413">
        <v>90000</v>
      </c>
      <c r="F345" s="413">
        <v>50000</v>
      </c>
      <c r="G345" s="413">
        <f>F345/7.5345</f>
        <v>6636.1404207313026</v>
      </c>
      <c r="H345" s="413">
        <v>6000</v>
      </c>
      <c r="I345" s="582">
        <f>H345*7.5345</f>
        <v>45207</v>
      </c>
      <c r="J345" s="413">
        <v>4000</v>
      </c>
      <c r="K345" s="582">
        <f>J345*7.5345</f>
        <v>30138</v>
      </c>
      <c r="L345" s="413">
        <v>5000</v>
      </c>
      <c r="M345" s="582">
        <f>L345*7.5345</f>
        <v>37672.5</v>
      </c>
      <c r="N345" s="479">
        <f t="shared" si="246"/>
        <v>66.666666666666657</v>
      </c>
      <c r="O345" s="480">
        <f t="shared" si="247"/>
        <v>125</v>
      </c>
    </row>
    <row r="346" spans="1:15" ht="28.2" thickTop="1" x14ac:dyDescent="0.25">
      <c r="A346" s="426"/>
      <c r="B346" s="493"/>
      <c r="C346" s="42"/>
      <c r="D346" s="421" t="s">
        <v>406</v>
      </c>
      <c r="E346" s="397"/>
      <c r="F346" s="396"/>
      <c r="G346" s="396"/>
      <c r="H346" s="396"/>
      <c r="I346" s="577"/>
      <c r="J346" s="396"/>
      <c r="K346" s="577"/>
      <c r="L346" s="396"/>
      <c r="M346" s="577"/>
      <c r="N346" s="942">
        <f>AVERAGE(J348/H348*100)</f>
        <v>71.428571428571431</v>
      </c>
      <c r="O346" s="944">
        <f>AVERAGE(L348/J348*100)</f>
        <v>100</v>
      </c>
    </row>
    <row r="347" spans="1:15" ht="13.8" x14ac:dyDescent="0.25">
      <c r="A347" s="426"/>
      <c r="B347" s="493"/>
      <c r="C347" s="42"/>
      <c r="D347" s="420" t="s">
        <v>683</v>
      </c>
      <c r="E347" s="387"/>
      <c r="F347" s="396"/>
      <c r="G347" s="396"/>
      <c r="H347" s="396"/>
      <c r="I347" s="577"/>
      <c r="J347" s="396"/>
      <c r="K347" s="577"/>
      <c r="L347" s="396"/>
      <c r="M347" s="577"/>
      <c r="N347" s="943"/>
      <c r="O347" s="945"/>
    </row>
    <row r="348" spans="1:15" s="117" customFormat="1" ht="31.2" x14ac:dyDescent="0.3">
      <c r="A348" s="458"/>
      <c r="B348" s="494"/>
      <c r="D348" s="464" t="s">
        <v>648</v>
      </c>
      <c r="E348" s="459">
        <v>50000</v>
      </c>
      <c r="F348" s="457">
        <f t="shared" ref="F348:M350" si="248">SUM(F349)</f>
        <v>5000</v>
      </c>
      <c r="G348" s="457">
        <f t="shared" si="248"/>
        <v>663.61404207313024</v>
      </c>
      <c r="H348" s="457">
        <f t="shared" si="248"/>
        <v>700</v>
      </c>
      <c r="I348" s="457">
        <f t="shared" si="248"/>
        <v>5274.1500000000005</v>
      </c>
      <c r="J348" s="457">
        <f t="shared" si="248"/>
        <v>500</v>
      </c>
      <c r="K348" s="457">
        <f t="shared" si="248"/>
        <v>3767.25</v>
      </c>
      <c r="L348" s="457">
        <f t="shared" si="248"/>
        <v>500</v>
      </c>
      <c r="M348" s="578">
        <f t="shared" si="248"/>
        <v>3767.25</v>
      </c>
      <c r="N348" s="943"/>
      <c r="O348" s="945"/>
    </row>
    <row r="349" spans="1:15" s="29" customFormat="1" ht="13.8" x14ac:dyDescent="0.25">
      <c r="A349" s="382" t="s">
        <v>569</v>
      </c>
      <c r="B349" s="489"/>
      <c r="C349" s="378">
        <v>32</v>
      </c>
      <c r="D349" s="389" t="s">
        <v>180</v>
      </c>
      <c r="E349" s="386">
        <v>50000</v>
      </c>
      <c r="F349" s="386">
        <f t="shared" si="248"/>
        <v>5000</v>
      </c>
      <c r="G349" s="386">
        <f t="shared" si="248"/>
        <v>663.61404207313024</v>
      </c>
      <c r="H349" s="386">
        <f t="shared" si="248"/>
        <v>700</v>
      </c>
      <c r="I349" s="386">
        <f t="shared" si="248"/>
        <v>5274.1500000000005</v>
      </c>
      <c r="J349" s="386">
        <f t="shared" si="248"/>
        <v>500</v>
      </c>
      <c r="K349" s="386">
        <f t="shared" si="248"/>
        <v>3767.25</v>
      </c>
      <c r="L349" s="386">
        <f t="shared" si="248"/>
        <v>500</v>
      </c>
      <c r="M349" s="581">
        <f t="shared" si="248"/>
        <v>3767.25</v>
      </c>
      <c r="N349" s="409">
        <f t="shared" ref="N349:N351" si="249">AVERAGE(J349/H349*100)</f>
        <v>71.428571428571431</v>
      </c>
      <c r="O349" s="427">
        <f>AVERAGE(L349/J349*100)</f>
        <v>100</v>
      </c>
    </row>
    <row r="350" spans="1:15" ht="14.4" thickBot="1" x14ac:dyDescent="0.3">
      <c r="A350" s="379" t="s">
        <v>569</v>
      </c>
      <c r="B350" s="488"/>
      <c r="C350" s="391">
        <v>323</v>
      </c>
      <c r="D350" s="392" t="s">
        <v>56</v>
      </c>
      <c r="E350" s="387">
        <v>50000</v>
      </c>
      <c r="F350" s="387">
        <f t="shared" si="248"/>
        <v>5000</v>
      </c>
      <c r="G350" s="387">
        <f t="shared" si="248"/>
        <v>663.61404207313024</v>
      </c>
      <c r="H350" s="387">
        <f t="shared" si="248"/>
        <v>700</v>
      </c>
      <c r="I350" s="387">
        <f t="shared" si="248"/>
        <v>5274.1500000000005</v>
      </c>
      <c r="J350" s="387">
        <f t="shared" si="248"/>
        <v>500</v>
      </c>
      <c r="K350" s="387">
        <f t="shared" si="248"/>
        <v>3767.25</v>
      </c>
      <c r="L350" s="387">
        <f t="shared" si="248"/>
        <v>500</v>
      </c>
      <c r="M350" s="580">
        <f t="shared" si="248"/>
        <v>3767.25</v>
      </c>
      <c r="N350" s="409">
        <f t="shared" si="249"/>
        <v>71.428571428571431</v>
      </c>
      <c r="O350" s="427">
        <f t="shared" ref="O350:O351" si="250">AVERAGE(L350/J350*100)</f>
        <v>100</v>
      </c>
    </row>
    <row r="351" spans="1:15" ht="14.4" hidden="1" thickBot="1" x14ac:dyDescent="0.3">
      <c r="A351" s="432" t="s">
        <v>569</v>
      </c>
      <c r="B351" s="490"/>
      <c r="C351" s="411">
        <v>3232</v>
      </c>
      <c r="D351" s="412" t="s">
        <v>242</v>
      </c>
      <c r="E351" s="413">
        <v>50000</v>
      </c>
      <c r="F351" s="413">
        <v>5000</v>
      </c>
      <c r="G351" s="413">
        <f>F351/7.5345</f>
        <v>663.61404207313024</v>
      </c>
      <c r="H351" s="413">
        <v>700</v>
      </c>
      <c r="I351" s="582">
        <f>H351*7.5345</f>
        <v>5274.1500000000005</v>
      </c>
      <c r="J351" s="413">
        <v>500</v>
      </c>
      <c r="K351" s="582">
        <f>J351*7.5345</f>
        <v>3767.25</v>
      </c>
      <c r="L351" s="413">
        <v>500</v>
      </c>
      <c r="M351" s="582">
        <f>L351*7.5345</f>
        <v>3767.25</v>
      </c>
      <c r="N351" s="479">
        <f t="shared" si="249"/>
        <v>71.428571428571431</v>
      </c>
      <c r="O351" s="480">
        <f t="shared" si="250"/>
        <v>100</v>
      </c>
    </row>
    <row r="352" spans="1:15" s="415" customFormat="1" ht="28.2" thickBot="1" x14ac:dyDescent="0.3">
      <c r="A352" s="771"/>
      <c r="B352" s="798"/>
      <c r="C352" s="773"/>
      <c r="D352" s="760" t="s">
        <v>406</v>
      </c>
      <c r="E352" s="774"/>
      <c r="F352" s="730"/>
      <c r="G352" s="730"/>
      <c r="H352" s="730"/>
      <c r="I352" s="761"/>
      <c r="J352" s="730"/>
      <c r="K352" s="761"/>
      <c r="L352" s="730"/>
      <c r="M352" s="761"/>
      <c r="N352" s="946">
        <f>AVERAGE(J354/H354*100)</f>
        <v>120</v>
      </c>
      <c r="O352" s="958">
        <f>AVERAGE(L354/J354*100)</f>
        <v>108.33333333333333</v>
      </c>
    </row>
    <row r="353" spans="1:15" s="587" customFormat="1" ht="16.2" thickTop="1" x14ac:dyDescent="0.3">
      <c r="A353" s="771"/>
      <c r="B353" s="798"/>
      <c r="C353" s="773"/>
      <c r="D353" s="787" t="s">
        <v>684</v>
      </c>
      <c r="E353" s="728"/>
      <c r="F353" s="730"/>
      <c r="G353" s="730"/>
      <c r="H353" s="730"/>
      <c r="I353" s="761"/>
      <c r="J353" s="730"/>
      <c r="K353" s="761"/>
      <c r="L353" s="730"/>
      <c r="M353" s="761"/>
      <c r="N353" s="947"/>
      <c r="O353" s="959"/>
    </row>
    <row r="354" spans="1:15" s="588" customFormat="1" ht="31.2" x14ac:dyDescent="0.3">
      <c r="A354" s="775"/>
      <c r="B354" s="793"/>
      <c r="C354" s="777"/>
      <c r="D354" s="729" t="s">
        <v>649</v>
      </c>
      <c r="E354" s="738">
        <v>50000</v>
      </c>
      <c r="F354" s="712">
        <f t="shared" ref="F354:M354" si="251">SUM(F355)</f>
        <v>37000</v>
      </c>
      <c r="G354" s="712">
        <f t="shared" si="251"/>
        <v>4910.7439113411638</v>
      </c>
      <c r="H354" s="712">
        <f>H355</f>
        <v>10000</v>
      </c>
      <c r="I354" s="712">
        <f t="shared" ref="I354:L354" si="252">I355</f>
        <v>10000</v>
      </c>
      <c r="J354" s="712">
        <f t="shared" si="252"/>
        <v>12000</v>
      </c>
      <c r="K354" s="712">
        <f t="shared" si="252"/>
        <v>10000</v>
      </c>
      <c r="L354" s="712">
        <f t="shared" si="252"/>
        <v>13000</v>
      </c>
      <c r="M354" s="779">
        <f t="shared" si="251"/>
        <v>97948.5</v>
      </c>
      <c r="N354" s="947"/>
      <c r="O354" s="959"/>
    </row>
    <row r="355" spans="1:15" s="589" customFormat="1" ht="13.8" x14ac:dyDescent="0.25">
      <c r="A355" s="799" t="s">
        <v>570</v>
      </c>
      <c r="B355" s="740"/>
      <c r="C355" s="741">
        <v>32</v>
      </c>
      <c r="D355" s="742" t="s">
        <v>180</v>
      </c>
      <c r="E355" s="743">
        <v>50000</v>
      </c>
      <c r="F355" s="743">
        <f t="shared" ref="F355:G355" si="253">SUM(F356+F358)</f>
        <v>37000</v>
      </c>
      <c r="G355" s="743">
        <f t="shared" si="253"/>
        <v>4910.7439113411638</v>
      </c>
      <c r="H355" s="743">
        <f>SUM(H356+H358)</f>
        <v>10000</v>
      </c>
      <c r="I355" s="743">
        <f t="shared" ref="I355:L355" si="254">SUM(I356+I358)</f>
        <v>10000</v>
      </c>
      <c r="J355" s="743">
        <f t="shared" si="254"/>
        <v>12000</v>
      </c>
      <c r="K355" s="743">
        <f t="shared" si="254"/>
        <v>10000</v>
      </c>
      <c r="L355" s="743">
        <f t="shared" si="254"/>
        <v>13000</v>
      </c>
      <c r="M355" s="744">
        <f t="shared" ref="M355" si="255">SUM(M356+M358)</f>
        <v>97948.5</v>
      </c>
      <c r="N355" s="768">
        <f t="shared" ref="N355:N359" si="256">AVERAGE(J355/H355*100)</f>
        <v>120</v>
      </c>
      <c r="O355" s="769">
        <f>AVERAGE(L355/J355*100)</f>
        <v>108.33333333333333</v>
      </c>
    </row>
    <row r="356" spans="1:15" s="589" customFormat="1" ht="13.8" x14ac:dyDescent="0.25">
      <c r="A356" s="800" t="s">
        <v>570</v>
      </c>
      <c r="B356" s="745"/>
      <c r="C356" s="746">
        <v>322</v>
      </c>
      <c r="D356" s="734" t="s">
        <v>52</v>
      </c>
      <c r="E356" s="728">
        <v>50000</v>
      </c>
      <c r="F356" s="728">
        <f t="shared" ref="F356:M356" si="257">SUM(F357)</f>
        <v>30000</v>
      </c>
      <c r="G356" s="728">
        <f t="shared" si="257"/>
        <v>3981.6842524387812</v>
      </c>
      <c r="H356" s="728">
        <f>SUM(H357)</f>
        <v>5000</v>
      </c>
      <c r="I356" s="728">
        <f t="shared" ref="I356:L356" si="258">SUM(I357)</f>
        <v>5000</v>
      </c>
      <c r="J356" s="728">
        <f t="shared" si="258"/>
        <v>5000</v>
      </c>
      <c r="K356" s="728">
        <f t="shared" si="258"/>
        <v>5000</v>
      </c>
      <c r="L356" s="728">
        <f t="shared" si="258"/>
        <v>5000</v>
      </c>
      <c r="M356" s="735">
        <f t="shared" si="257"/>
        <v>37672.5</v>
      </c>
      <c r="N356" s="768">
        <f t="shared" si="256"/>
        <v>100</v>
      </c>
      <c r="O356" s="769">
        <f t="shared" ref="O356:O359" si="259">AVERAGE(L356/J356*100)</f>
        <v>100</v>
      </c>
    </row>
    <row r="357" spans="1:15" s="589" customFormat="1" ht="13.8" hidden="1" x14ac:dyDescent="0.25">
      <c r="A357" s="800" t="s">
        <v>570</v>
      </c>
      <c r="B357" s="745"/>
      <c r="C357" s="746">
        <v>3225</v>
      </c>
      <c r="D357" s="734" t="s">
        <v>190</v>
      </c>
      <c r="E357" s="728">
        <v>50000</v>
      </c>
      <c r="F357" s="728">
        <v>30000</v>
      </c>
      <c r="G357" s="728">
        <f>F357/7.5345</f>
        <v>3981.6842524387812</v>
      </c>
      <c r="H357" s="728">
        <v>5000</v>
      </c>
      <c r="I357" s="728">
        <v>5000</v>
      </c>
      <c r="J357" s="728">
        <v>5000</v>
      </c>
      <c r="K357" s="728">
        <v>5000</v>
      </c>
      <c r="L357" s="728">
        <v>5000</v>
      </c>
      <c r="M357" s="735">
        <f>L357*7.5345</f>
        <v>37672.5</v>
      </c>
      <c r="N357" s="768">
        <f t="shared" si="256"/>
        <v>100</v>
      </c>
      <c r="O357" s="769">
        <f t="shared" si="259"/>
        <v>100</v>
      </c>
    </row>
    <row r="358" spans="1:15" s="589" customFormat="1" ht="14.4" thickBot="1" x14ac:dyDescent="0.3">
      <c r="A358" s="800" t="s">
        <v>570</v>
      </c>
      <c r="B358" s="745"/>
      <c r="C358" s="746">
        <v>323</v>
      </c>
      <c r="D358" s="734" t="s">
        <v>56</v>
      </c>
      <c r="E358" s="728">
        <v>50000</v>
      </c>
      <c r="F358" s="728">
        <f t="shared" ref="F358:M358" si="260">SUM(F359)</f>
        <v>7000</v>
      </c>
      <c r="G358" s="728">
        <f t="shared" si="260"/>
        <v>929.05965890238235</v>
      </c>
      <c r="H358" s="728">
        <f t="shared" si="260"/>
        <v>5000</v>
      </c>
      <c r="I358" s="728">
        <f t="shared" si="260"/>
        <v>5000</v>
      </c>
      <c r="J358" s="728">
        <f t="shared" si="260"/>
        <v>7000</v>
      </c>
      <c r="K358" s="728">
        <f t="shared" si="260"/>
        <v>5000</v>
      </c>
      <c r="L358" s="728">
        <f t="shared" si="260"/>
        <v>8000</v>
      </c>
      <c r="M358" s="735">
        <f t="shared" si="260"/>
        <v>60276</v>
      </c>
      <c r="N358" s="768">
        <f t="shared" si="256"/>
        <v>140</v>
      </c>
      <c r="O358" s="769">
        <f t="shared" si="259"/>
        <v>114.28571428571428</v>
      </c>
    </row>
    <row r="359" spans="1:15" s="117" customFormat="1" ht="16.2" hidden="1" thickBot="1" x14ac:dyDescent="0.35">
      <c r="A359" s="764" t="s">
        <v>570</v>
      </c>
      <c r="B359" s="754"/>
      <c r="C359" s="755">
        <v>3239</v>
      </c>
      <c r="D359" s="756" t="s">
        <v>64</v>
      </c>
      <c r="E359" s="757">
        <v>50000</v>
      </c>
      <c r="F359" s="757">
        <v>7000</v>
      </c>
      <c r="G359" s="757">
        <f>F359/7.5345</f>
        <v>929.05965890238235</v>
      </c>
      <c r="H359" s="757">
        <v>5000</v>
      </c>
      <c r="I359" s="757">
        <v>5000</v>
      </c>
      <c r="J359" s="757">
        <v>7000</v>
      </c>
      <c r="K359" s="757">
        <v>5000</v>
      </c>
      <c r="L359" s="757">
        <v>8000</v>
      </c>
      <c r="M359" s="758">
        <f>L359*7.5345</f>
        <v>60276</v>
      </c>
      <c r="N359" s="789">
        <f t="shared" si="256"/>
        <v>140</v>
      </c>
      <c r="O359" s="790">
        <f t="shared" si="259"/>
        <v>114.28571428571428</v>
      </c>
    </row>
    <row r="360" spans="1:15" ht="16.5" customHeight="1" x14ac:dyDescent="0.25">
      <c r="A360" s="426"/>
      <c r="B360" s="493"/>
      <c r="C360" s="42"/>
      <c r="D360" s="421" t="s">
        <v>471</v>
      </c>
      <c r="E360" s="397"/>
      <c r="F360" s="396"/>
      <c r="G360" s="396"/>
      <c r="H360" s="396"/>
      <c r="I360" s="577"/>
      <c r="J360" s="396"/>
      <c r="K360" s="577"/>
      <c r="L360" s="396"/>
      <c r="M360" s="577"/>
      <c r="N360" s="942">
        <v>0</v>
      </c>
      <c r="O360" s="944">
        <v>0</v>
      </c>
    </row>
    <row r="361" spans="1:15" s="4" customFormat="1" ht="30" customHeight="1" x14ac:dyDescent="0.25">
      <c r="A361" s="863"/>
      <c r="B361" s="864"/>
      <c r="C361" s="865"/>
      <c r="D361" s="421" t="s">
        <v>685</v>
      </c>
      <c r="E361" s="866"/>
      <c r="F361" s="867"/>
      <c r="G361" s="867"/>
      <c r="H361" s="867"/>
      <c r="I361" s="868"/>
      <c r="J361" s="867"/>
      <c r="K361" s="868"/>
      <c r="L361" s="867"/>
      <c r="M361" s="868"/>
      <c r="N361" s="943"/>
      <c r="O361" s="945"/>
    </row>
    <row r="362" spans="1:15" s="117" customFormat="1" ht="31.2" x14ac:dyDescent="0.3">
      <c r="A362" s="458"/>
      <c r="B362" s="494"/>
      <c r="D362" s="464" t="s">
        <v>650</v>
      </c>
      <c r="E362" s="459">
        <v>350000</v>
      </c>
      <c r="F362" s="457">
        <f t="shared" ref="F362:G362" si="261">SUM(F363)</f>
        <v>350000</v>
      </c>
      <c r="G362" s="457">
        <f t="shared" si="261"/>
        <v>46452.982945119118</v>
      </c>
      <c r="H362" s="457">
        <f t="shared" ref="H362:M362" si="262">SUM(H363+H367)</f>
        <v>70000</v>
      </c>
      <c r="I362" s="457">
        <f t="shared" si="262"/>
        <v>301380</v>
      </c>
      <c r="J362" s="457">
        <f t="shared" si="262"/>
        <v>150000</v>
      </c>
      <c r="K362" s="457">
        <f t="shared" si="262"/>
        <v>0</v>
      </c>
      <c r="L362" s="457">
        <f t="shared" si="262"/>
        <v>0</v>
      </c>
      <c r="M362" s="457">
        <f t="shared" si="262"/>
        <v>0</v>
      </c>
      <c r="N362" s="943"/>
      <c r="O362" s="945"/>
    </row>
    <row r="363" spans="1:15" s="29" customFormat="1" ht="13.8" x14ac:dyDescent="0.25">
      <c r="A363" s="388" t="s">
        <v>571</v>
      </c>
      <c r="B363" s="489"/>
      <c r="C363" s="378">
        <v>45</v>
      </c>
      <c r="D363" s="389" t="s">
        <v>482</v>
      </c>
      <c r="E363" s="386">
        <v>350000</v>
      </c>
      <c r="F363" s="386">
        <f>SUM(F365)</f>
        <v>350000</v>
      </c>
      <c r="G363" s="386">
        <f>SUM(G365)</f>
        <v>46452.982945119118</v>
      </c>
      <c r="H363" s="386">
        <f>SUM(H364)</f>
        <v>50000</v>
      </c>
      <c r="I363" s="581">
        <f>SUM(I365)</f>
        <v>150690</v>
      </c>
      <c r="J363" s="386">
        <f>SUM(J364)</f>
        <v>150000</v>
      </c>
      <c r="K363" s="581">
        <f>SUM(K365)</f>
        <v>0</v>
      </c>
      <c r="L363" s="386">
        <f>SUM(L365)</f>
        <v>0</v>
      </c>
      <c r="M363" s="581">
        <f>SUM(M365)</f>
        <v>0</v>
      </c>
      <c r="N363" s="404">
        <v>0</v>
      </c>
      <c r="O363" s="404">
        <v>0</v>
      </c>
    </row>
    <row r="364" spans="1:15" ht="13.8" x14ac:dyDescent="0.25">
      <c r="A364" s="390" t="s">
        <v>571</v>
      </c>
      <c r="B364" s="488"/>
      <c r="C364" s="391">
        <v>451</v>
      </c>
      <c r="D364" s="392" t="s">
        <v>597</v>
      </c>
      <c r="E364" s="386"/>
      <c r="F364" s="386"/>
      <c r="G364" s="386"/>
      <c r="H364" s="387">
        <f>SUM(H365+H366)</f>
        <v>50000</v>
      </c>
      <c r="I364" s="387">
        <f t="shared" ref="I364:L364" si="263">SUM(I365)</f>
        <v>150690</v>
      </c>
      <c r="J364" s="387">
        <f>SUM(J365+J366)</f>
        <v>150000</v>
      </c>
      <c r="K364" s="387">
        <f t="shared" si="263"/>
        <v>0</v>
      </c>
      <c r="L364" s="387">
        <f t="shared" si="263"/>
        <v>0</v>
      </c>
      <c r="M364" s="581"/>
      <c r="N364" s="404">
        <v>0</v>
      </c>
      <c r="O364" s="404">
        <v>0</v>
      </c>
    </row>
    <row r="365" spans="1:15" ht="13.8" hidden="1" x14ac:dyDescent="0.25">
      <c r="A365" s="390" t="s">
        <v>571</v>
      </c>
      <c r="B365" s="488"/>
      <c r="C365" s="391">
        <v>4511</v>
      </c>
      <c r="D365" s="392" t="s">
        <v>597</v>
      </c>
      <c r="E365" s="387">
        <v>350000</v>
      </c>
      <c r="F365" s="387">
        <f>SUM(F367)</f>
        <v>350000</v>
      </c>
      <c r="G365" s="387">
        <f>SUM(G367)</f>
        <v>46452.982945119118</v>
      </c>
      <c r="H365" s="387">
        <v>50000</v>
      </c>
      <c r="I365" s="580">
        <f>SUM(I367)</f>
        <v>150690</v>
      </c>
      <c r="J365" s="387">
        <v>100000</v>
      </c>
      <c r="K365" s="580">
        <f t="shared" ref="K365:M366" si="264">SUM(K367)</f>
        <v>0</v>
      </c>
      <c r="L365" s="387">
        <f t="shared" si="264"/>
        <v>0</v>
      </c>
      <c r="M365" s="580">
        <f t="shared" si="264"/>
        <v>0</v>
      </c>
      <c r="N365" s="404">
        <v>0</v>
      </c>
      <c r="O365" s="404">
        <v>0</v>
      </c>
    </row>
    <row r="366" spans="1:15" ht="13.8" hidden="1" x14ac:dyDescent="0.25">
      <c r="A366" s="390" t="s">
        <v>571</v>
      </c>
      <c r="B366" s="488"/>
      <c r="C366" s="391">
        <v>4511</v>
      </c>
      <c r="D366" s="392" t="s">
        <v>597</v>
      </c>
      <c r="E366" s="387">
        <v>350000</v>
      </c>
      <c r="F366" s="387">
        <f>SUM(F368)</f>
        <v>0</v>
      </c>
      <c r="G366" s="387">
        <f>SUM(G368)</f>
        <v>0</v>
      </c>
      <c r="H366" s="387">
        <v>0</v>
      </c>
      <c r="I366" s="580">
        <f>SUM(I368)</f>
        <v>0</v>
      </c>
      <c r="J366" s="387">
        <v>50000</v>
      </c>
      <c r="K366" s="580">
        <f t="shared" si="264"/>
        <v>0</v>
      </c>
      <c r="L366" s="387">
        <f t="shared" si="264"/>
        <v>0</v>
      </c>
      <c r="M366" s="580">
        <f t="shared" si="264"/>
        <v>0</v>
      </c>
      <c r="N366" s="404">
        <v>0</v>
      </c>
      <c r="O366" s="404">
        <v>0</v>
      </c>
    </row>
    <row r="367" spans="1:15" s="415" customFormat="1" ht="14.4" thickBot="1" x14ac:dyDescent="0.3">
      <c r="A367" s="737" t="s">
        <v>571</v>
      </c>
      <c r="B367" s="740"/>
      <c r="C367" s="741">
        <v>32</v>
      </c>
      <c r="D367" s="389" t="s">
        <v>47</v>
      </c>
      <c r="E367" s="387">
        <v>350000</v>
      </c>
      <c r="F367" s="387">
        <v>350000</v>
      </c>
      <c r="G367" s="387">
        <f>F367/7.5345</f>
        <v>46452.982945119118</v>
      </c>
      <c r="H367" s="386">
        <f>SUM(H368)</f>
        <v>20000</v>
      </c>
      <c r="I367" s="580">
        <f>H367*7.5345</f>
        <v>150690</v>
      </c>
      <c r="J367" s="387">
        <v>0</v>
      </c>
      <c r="K367" s="580">
        <f>J367*7.5345</f>
        <v>0</v>
      </c>
      <c r="L367" s="387">
        <v>0</v>
      </c>
      <c r="M367" s="580">
        <f>L367*7.5345</f>
        <v>0</v>
      </c>
      <c r="N367" s="404">
        <v>0</v>
      </c>
      <c r="O367" s="404">
        <v>0</v>
      </c>
    </row>
    <row r="368" spans="1:15" s="117" customFormat="1" ht="16.2" thickTop="1" x14ac:dyDescent="0.3">
      <c r="A368" s="737" t="s">
        <v>571</v>
      </c>
      <c r="B368" s="740"/>
      <c r="C368" s="746">
        <v>323</v>
      </c>
      <c r="D368" s="392" t="s">
        <v>596</v>
      </c>
      <c r="E368" s="387"/>
      <c r="F368" s="387"/>
      <c r="G368" s="387"/>
      <c r="H368" s="387">
        <f>SUM(H369)</f>
        <v>20000</v>
      </c>
      <c r="I368" s="580"/>
      <c r="J368" s="387">
        <v>0</v>
      </c>
      <c r="K368" s="580"/>
      <c r="L368" s="387">
        <v>0</v>
      </c>
      <c r="M368" s="580"/>
      <c r="N368" s="404">
        <v>0</v>
      </c>
      <c r="O368" s="404">
        <v>0</v>
      </c>
    </row>
    <row r="369" spans="1:15" s="29" customFormat="1" ht="14.4" hidden="1" thickBot="1" x14ac:dyDescent="0.3">
      <c r="A369" s="801" t="s">
        <v>571</v>
      </c>
      <c r="B369" s="754"/>
      <c r="C369" s="755">
        <v>3237</v>
      </c>
      <c r="D369" s="412" t="s">
        <v>595</v>
      </c>
      <c r="E369" s="413"/>
      <c r="F369" s="413"/>
      <c r="G369" s="413"/>
      <c r="H369" s="413">
        <v>20000</v>
      </c>
      <c r="I369" s="582"/>
      <c r="J369" s="413"/>
      <c r="K369" s="582"/>
      <c r="L369" s="413">
        <v>0</v>
      </c>
      <c r="M369" s="582"/>
      <c r="N369" s="414">
        <v>0</v>
      </c>
      <c r="O369" s="414">
        <v>0</v>
      </c>
    </row>
    <row r="370" spans="1:15" ht="18.75" customHeight="1" x14ac:dyDescent="0.25">
      <c r="A370" s="426"/>
      <c r="B370" s="493"/>
      <c r="C370" s="42"/>
      <c r="D370" s="421" t="s">
        <v>471</v>
      </c>
      <c r="E370" s="397"/>
      <c r="F370" s="396"/>
      <c r="G370" s="396"/>
      <c r="H370" s="396"/>
      <c r="I370" s="577"/>
      <c r="J370" s="396"/>
      <c r="K370" s="577"/>
      <c r="L370" s="396"/>
      <c r="M370" s="577"/>
      <c r="N370" s="942">
        <v>0</v>
      </c>
      <c r="O370" s="949">
        <f>AVERAGE(L372/J372*100)</f>
        <v>0</v>
      </c>
    </row>
    <row r="371" spans="1:15" ht="15" thickTop="1" thickBot="1" x14ac:dyDescent="0.3">
      <c r="A371" s="426"/>
      <c r="B371" s="493"/>
      <c r="C371" s="42"/>
      <c r="D371" s="420" t="s">
        <v>681</v>
      </c>
      <c r="E371" s="387"/>
      <c r="F371" s="396"/>
      <c r="G371" s="396"/>
      <c r="H371" s="396"/>
      <c r="I371" s="577"/>
      <c r="J371" s="396"/>
      <c r="K371" s="577"/>
      <c r="L371" s="396"/>
      <c r="M371" s="577"/>
      <c r="N371" s="943"/>
      <c r="O371" s="945"/>
    </row>
    <row r="372" spans="1:15" ht="31.2" x14ac:dyDescent="0.3">
      <c r="A372" s="458"/>
      <c r="B372" s="494"/>
      <c r="C372" s="117"/>
      <c r="D372" s="464" t="s">
        <v>651</v>
      </c>
      <c r="E372" s="459">
        <v>350000</v>
      </c>
      <c r="F372" s="457">
        <f t="shared" ref="F372:M373" si="265">SUM(F373)</f>
        <v>0</v>
      </c>
      <c r="G372" s="457">
        <f t="shared" si="265"/>
        <v>0</v>
      </c>
      <c r="H372" s="457">
        <f t="shared" si="265"/>
        <v>0</v>
      </c>
      <c r="I372" s="457">
        <f t="shared" si="265"/>
        <v>0</v>
      </c>
      <c r="J372" s="457">
        <f t="shared" si="265"/>
        <v>50000</v>
      </c>
      <c r="K372" s="457">
        <f t="shared" si="265"/>
        <v>150690</v>
      </c>
      <c r="L372" s="457">
        <f t="shared" si="265"/>
        <v>0</v>
      </c>
      <c r="M372" s="578">
        <f t="shared" si="265"/>
        <v>0</v>
      </c>
      <c r="N372" s="943"/>
      <c r="O372" s="945"/>
    </row>
    <row r="373" spans="1:15" ht="13.8" x14ac:dyDescent="0.25">
      <c r="A373" s="382" t="s">
        <v>572</v>
      </c>
      <c r="B373" s="489"/>
      <c r="C373" s="378">
        <v>32</v>
      </c>
      <c r="D373" s="389" t="s">
        <v>180</v>
      </c>
      <c r="E373" s="386">
        <v>350000</v>
      </c>
      <c r="F373" s="386">
        <f t="shared" si="265"/>
        <v>0</v>
      </c>
      <c r="G373" s="386">
        <f t="shared" si="265"/>
        <v>0</v>
      </c>
      <c r="H373" s="386">
        <f t="shared" si="265"/>
        <v>0</v>
      </c>
      <c r="I373" s="581">
        <f t="shared" si="265"/>
        <v>0</v>
      </c>
      <c r="J373" s="386">
        <f t="shared" si="265"/>
        <v>50000</v>
      </c>
      <c r="K373" s="581">
        <f t="shared" si="265"/>
        <v>150690</v>
      </c>
      <c r="L373" s="386">
        <f t="shared" si="265"/>
        <v>0</v>
      </c>
      <c r="M373" s="581">
        <f t="shared" si="265"/>
        <v>0</v>
      </c>
      <c r="N373" s="409">
        <v>0</v>
      </c>
      <c r="O373" s="427">
        <f>AVERAGE(L373/J373*100)</f>
        <v>0</v>
      </c>
    </row>
    <row r="374" spans="1:15" ht="14.4" thickBot="1" x14ac:dyDescent="0.3">
      <c r="A374" s="379" t="s">
        <v>572</v>
      </c>
      <c r="B374" s="488"/>
      <c r="C374" s="391">
        <v>323</v>
      </c>
      <c r="D374" s="392" t="s">
        <v>56</v>
      </c>
      <c r="E374" s="387">
        <v>350000</v>
      </c>
      <c r="F374" s="387">
        <f>SUM(F376)</f>
        <v>0</v>
      </c>
      <c r="G374" s="387">
        <f>SUM(G376)</f>
        <v>0</v>
      </c>
      <c r="H374" s="387">
        <f>SUM(H376)</f>
        <v>0</v>
      </c>
      <c r="I374" s="580">
        <f>SUM(I376)</f>
        <v>0</v>
      </c>
      <c r="J374" s="387">
        <f>SUM(J376+J375)</f>
        <v>50000</v>
      </c>
      <c r="K374" s="580">
        <f>SUM(K376)</f>
        <v>150690</v>
      </c>
      <c r="L374" s="387">
        <f>SUM(L376)</f>
        <v>0</v>
      </c>
      <c r="M374" s="580">
        <f>SUM(M376)</f>
        <v>0</v>
      </c>
      <c r="N374" s="409">
        <v>0</v>
      </c>
      <c r="O374" s="427">
        <f t="shared" ref="O374:O376" si="266">AVERAGE(L374/J374*100)</f>
        <v>0</v>
      </c>
    </row>
    <row r="375" spans="1:15" ht="14.4" hidden="1" thickBot="1" x14ac:dyDescent="0.3">
      <c r="A375" s="432" t="s">
        <v>572</v>
      </c>
      <c r="B375" s="490"/>
      <c r="C375" s="411">
        <v>3232</v>
      </c>
      <c r="D375" s="412" t="s">
        <v>242</v>
      </c>
      <c r="E375" s="413">
        <v>350000</v>
      </c>
      <c r="F375" s="413">
        <v>0</v>
      </c>
      <c r="G375" s="413">
        <f>F375/7.5345</f>
        <v>0</v>
      </c>
      <c r="H375" s="413">
        <f>G375/7.5345</f>
        <v>0</v>
      </c>
      <c r="I375" s="582">
        <f>H375*7.5345</f>
        <v>0</v>
      </c>
      <c r="J375" s="413">
        <v>30000</v>
      </c>
      <c r="K375" s="582">
        <f>J375*7.5345</f>
        <v>226035</v>
      </c>
      <c r="L375" s="413">
        <v>0</v>
      </c>
      <c r="M375" s="582">
        <f>L375*7.5345</f>
        <v>0</v>
      </c>
      <c r="N375" s="479">
        <v>0</v>
      </c>
      <c r="O375" s="480">
        <f t="shared" ref="O375" si="267">AVERAGE(L375/J375*100)</f>
        <v>0</v>
      </c>
    </row>
    <row r="376" spans="1:15" s="230" customFormat="1" ht="15" hidden="1" thickTop="1" thickBot="1" x14ac:dyDescent="0.3">
      <c r="A376" s="432" t="s">
        <v>572</v>
      </c>
      <c r="B376" s="490"/>
      <c r="C376" s="411">
        <v>3232</v>
      </c>
      <c r="D376" s="412" t="s">
        <v>242</v>
      </c>
      <c r="E376" s="413">
        <v>350000</v>
      </c>
      <c r="F376" s="413">
        <v>0</v>
      </c>
      <c r="G376" s="413">
        <f>F376/7.5345</f>
        <v>0</v>
      </c>
      <c r="H376" s="413">
        <f>G376/7.5345</f>
        <v>0</v>
      </c>
      <c r="I376" s="582">
        <f>H376*7.5345</f>
        <v>0</v>
      </c>
      <c r="J376" s="413">
        <v>20000</v>
      </c>
      <c r="K376" s="582">
        <f>J376*7.5345</f>
        <v>150690</v>
      </c>
      <c r="L376" s="413">
        <v>0</v>
      </c>
      <c r="M376" s="582">
        <f>L376*7.5345</f>
        <v>0</v>
      </c>
      <c r="N376" s="479">
        <v>0</v>
      </c>
      <c r="O376" s="480">
        <f t="shared" si="266"/>
        <v>0</v>
      </c>
    </row>
    <row r="377" spans="1:15" s="117" customFormat="1" ht="15.6" x14ac:dyDescent="0.3">
      <c r="A377" s="426"/>
      <c r="B377" s="493"/>
      <c r="C377" s="42"/>
      <c r="D377" s="421" t="s">
        <v>471</v>
      </c>
      <c r="E377" s="397"/>
      <c r="F377" s="396"/>
      <c r="G377" s="396"/>
      <c r="H377" s="396"/>
      <c r="I377" s="577"/>
      <c r="J377" s="396"/>
      <c r="K377" s="577"/>
      <c r="L377" s="396"/>
      <c r="M377" s="577"/>
      <c r="N377" s="942">
        <v>0</v>
      </c>
      <c r="O377" s="944" t="e">
        <f>AVERAGE(L379/J379*100)</f>
        <v>#DIV/0!</v>
      </c>
    </row>
    <row r="378" spans="1:15" s="29" customFormat="1" ht="13.8" x14ac:dyDescent="0.25">
      <c r="A378" s="426"/>
      <c r="B378" s="493"/>
      <c r="C378" s="42"/>
      <c r="D378" s="420" t="s">
        <v>677</v>
      </c>
      <c r="E378" s="387"/>
      <c r="F378" s="396"/>
      <c r="G378" s="396"/>
      <c r="H378" s="396"/>
      <c r="I378" s="577"/>
      <c r="J378" s="396"/>
      <c r="K378" s="577"/>
      <c r="L378" s="396"/>
      <c r="M378" s="577"/>
      <c r="N378" s="943"/>
      <c r="O378" s="945"/>
    </row>
    <row r="379" spans="1:15" ht="31.2" x14ac:dyDescent="0.3">
      <c r="A379" s="458"/>
      <c r="B379" s="494"/>
      <c r="C379" s="117"/>
      <c r="D379" s="464" t="s">
        <v>652</v>
      </c>
      <c r="E379" s="459">
        <v>350000</v>
      </c>
      <c r="F379" s="457">
        <f t="shared" ref="F379:M381" si="268">SUM(F380)</f>
        <v>0</v>
      </c>
      <c r="G379" s="457">
        <f t="shared" si="268"/>
        <v>0</v>
      </c>
      <c r="H379" s="457">
        <f t="shared" si="268"/>
        <v>70000</v>
      </c>
      <c r="I379" s="578">
        <f t="shared" si="268"/>
        <v>113017.5</v>
      </c>
      <c r="J379" s="457">
        <f t="shared" si="268"/>
        <v>0</v>
      </c>
      <c r="K379" s="578">
        <f t="shared" si="268"/>
        <v>0</v>
      </c>
      <c r="L379" s="457">
        <f t="shared" si="268"/>
        <v>0</v>
      </c>
      <c r="M379" s="578">
        <f t="shared" si="268"/>
        <v>0</v>
      </c>
      <c r="N379" s="943"/>
      <c r="O379" s="945"/>
    </row>
    <row r="380" spans="1:15" ht="13.8" x14ac:dyDescent="0.25">
      <c r="A380" s="382" t="s">
        <v>573</v>
      </c>
      <c r="B380" s="489"/>
      <c r="C380" s="378">
        <v>32</v>
      </c>
      <c r="D380" s="389" t="s">
        <v>180</v>
      </c>
      <c r="E380" s="386">
        <v>350000</v>
      </c>
      <c r="F380" s="386">
        <f t="shared" si="268"/>
        <v>0</v>
      </c>
      <c r="G380" s="386">
        <f t="shared" si="268"/>
        <v>0</v>
      </c>
      <c r="H380" s="386">
        <f>SUM(H381+H383)</f>
        <v>70000</v>
      </c>
      <c r="I380" s="581">
        <f t="shared" si="268"/>
        <v>113017.5</v>
      </c>
      <c r="J380" s="386">
        <f t="shared" si="268"/>
        <v>0</v>
      </c>
      <c r="K380" s="581">
        <f t="shared" si="268"/>
        <v>0</v>
      </c>
      <c r="L380" s="386">
        <f t="shared" si="268"/>
        <v>0</v>
      </c>
      <c r="M380" s="581">
        <f t="shared" si="268"/>
        <v>0</v>
      </c>
      <c r="N380" s="409">
        <v>0</v>
      </c>
      <c r="O380" s="427" t="e">
        <f>AVERAGE(L380/J380*100)</f>
        <v>#DIV/0!</v>
      </c>
    </row>
    <row r="381" spans="1:15" ht="13.8" x14ac:dyDescent="0.25">
      <c r="A381" s="379" t="s">
        <v>573</v>
      </c>
      <c r="B381" s="488"/>
      <c r="C381" s="391">
        <v>323</v>
      </c>
      <c r="D381" s="392" t="s">
        <v>56</v>
      </c>
      <c r="E381" s="387">
        <v>350000</v>
      </c>
      <c r="F381" s="387">
        <f t="shared" si="268"/>
        <v>0</v>
      </c>
      <c r="G381" s="387">
        <f t="shared" si="268"/>
        <v>0</v>
      </c>
      <c r="H381" s="387">
        <f t="shared" si="268"/>
        <v>15000</v>
      </c>
      <c r="I381" s="580">
        <f t="shared" si="268"/>
        <v>113017.5</v>
      </c>
      <c r="J381" s="387">
        <f t="shared" si="268"/>
        <v>0</v>
      </c>
      <c r="K381" s="580">
        <f t="shared" si="268"/>
        <v>0</v>
      </c>
      <c r="L381" s="387">
        <f t="shared" si="268"/>
        <v>0</v>
      </c>
      <c r="M381" s="580">
        <f t="shared" si="268"/>
        <v>0</v>
      </c>
      <c r="N381" s="409">
        <v>0</v>
      </c>
      <c r="O381" s="427" t="e">
        <f t="shared" ref="O381:O384" si="269">AVERAGE(L381/J381*100)</f>
        <v>#DIV/0!</v>
      </c>
    </row>
    <row r="382" spans="1:15" s="685" customFormat="1" ht="14.4" hidden="1" thickBot="1" x14ac:dyDescent="0.3">
      <c r="A382" s="380" t="s">
        <v>573</v>
      </c>
      <c r="B382" s="495"/>
      <c r="C382" s="424">
        <v>3232</v>
      </c>
      <c r="D382" s="394" t="s">
        <v>242</v>
      </c>
      <c r="E382" s="385">
        <v>350000</v>
      </c>
      <c r="F382" s="385">
        <v>0</v>
      </c>
      <c r="G382" s="385">
        <f>F382/7.5345</f>
        <v>0</v>
      </c>
      <c r="H382" s="385">
        <v>15000</v>
      </c>
      <c r="I382" s="583">
        <f>H382*7.5345</f>
        <v>113017.5</v>
      </c>
      <c r="J382" s="385">
        <v>0</v>
      </c>
      <c r="K382" s="583">
        <f>J382*7.5345</f>
        <v>0</v>
      </c>
      <c r="L382" s="385">
        <v>0</v>
      </c>
      <c r="M382" s="583">
        <f>L382*7.5345</f>
        <v>0</v>
      </c>
      <c r="N382" s="408">
        <v>0</v>
      </c>
      <c r="O382" s="435" t="e">
        <f t="shared" si="269"/>
        <v>#DIV/0!</v>
      </c>
    </row>
    <row r="383" spans="1:15" s="117" customFormat="1" ht="15.6" x14ac:dyDescent="0.3">
      <c r="A383" s="390" t="s">
        <v>573</v>
      </c>
      <c r="B383" s="488"/>
      <c r="C383" s="391">
        <v>323</v>
      </c>
      <c r="D383" s="392" t="s">
        <v>56</v>
      </c>
      <c r="E383" s="387"/>
      <c r="F383" s="387"/>
      <c r="G383" s="387"/>
      <c r="H383" s="387">
        <f>SUM(H384)</f>
        <v>55000</v>
      </c>
      <c r="I383" s="580"/>
      <c r="J383" s="385">
        <v>0</v>
      </c>
      <c r="K383" s="580"/>
      <c r="L383" s="385">
        <v>0</v>
      </c>
      <c r="M383" s="580"/>
      <c r="N383" s="408">
        <v>0</v>
      </c>
      <c r="O383" s="435" t="e">
        <f t="shared" si="269"/>
        <v>#DIV/0!</v>
      </c>
    </row>
    <row r="384" spans="1:15" s="29" customFormat="1" ht="14.4" hidden="1" thickBot="1" x14ac:dyDescent="0.3">
      <c r="A384" s="713" t="s">
        <v>573</v>
      </c>
      <c r="B384" s="490"/>
      <c r="C384" s="411">
        <v>3232</v>
      </c>
      <c r="D384" s="412" t="s">
        <v>242</v>
      </c>
      <c r="E384" s="413"/>
      <c r="F384" s="413"/>
      <c r="G384" s="413"/>
      <c r="H384" s="413">
        <v>55000</v>
      </c>
      <c r="I384" s="582"/>
      <c r="J384" s="385">
        <v>0</v>
      </c>
      <c r="K384" s="582"/>
      <c r="L384" s="385">
        <v>0</v>
      </c>
      <c r="M384" s="582"/>
      <c r="N384" s="408">
        <v>0</v>
      </c>
      <c r="O384" s="435" t="e">
        <f t="shared" si="269"/>
        <v>#DIV/0!</v>
      </c>
    </row>
    <row r="385" spans="1:15" ht="18" thickBot="1" x14ac:dyDescent="0.3">
      <c r="A385" s="955" t="s">
        <v>640</v>
      </c>
      <c r="B385" s="956"/>
      <c r="C385" s="956"/>
      <c r="D385" s="957"/>
      <c r="E385" s="714" t="e">
        <f>SUM(E388+#REF!+#REF!+E394+E400)</f>
        <v>#REF!</v>
      </c>
      <c r="F385" s="714" t="e">
        <f>SUM(F388+F394+F400+F410+#REF!+F417)</f>
        <v>#REF!</v>
      </c>
      <c r="G385" s="714" t="e">
        <f>SUM(G388+G394+G400+G410+#REF!+G417)</f>
        <v>#REF!</v>
      </c>
      <c r="H385" s="714">
        <f>SUM(H388+H394+H400+H410+H417)</f>
        <v>348500</v>
      </c>
      <c r="I385" s="715" t="e">
        <f>SUM(I388+I394+I400+I410+#REF!+I417)</f>
        <v>#REF!</v>
      </c>
      <c r="J385" s="714">
        <f>SUM(J388+J394+J400+J410+J417+J425)</f>
        <v>500000</v>
      </c>
      <c r="K385" s="715" t="e">
        <f>SUM(K388+K394+K400+K410+#REF!+K417)</f>
        <v>#REF!</v>
      </c>
      <c r="L385" s="714">
        <f>SUM(L388+L394+L400+L410+L417+L425)</f>
        <v>930000</v>
      </c>
      <c r="M385" s="715" t="e">
        <f>SUM(M388+M394+M400+M410+#REF!+M417)</f>
        <v>#REF!</v>
      </c>
      <c r="N385" s="716">
        <f>AVERAGE(J385/H385*100)</f>
        <v>143.47202295552367</v>
      </c>
      <c r="O385" s="717">
        <f>AVERAGE(L385/J385*100)</f>
        <v>186</v>
      </c>
    </row>
    <row r="386" spans="1:15" ht="19.5" customHeight="1" x14ac:dyDescent="0.25">
      <c r="A386" s="426"/>
      <c r="B386" s="42"/>
      <c r="C386" s="42"/>
      <c r="D386" s="421" t="s">
        <v>471</v>
      </c>
      <c r="E386" s="397"/>
      <c r="F386" s="396"/>
      <c r="G386" s="396"/>
      <c r="H386" s="396"/>
      <c r="I386" s="577"/>
      <c r="J386" s="396"/>
      <c r="K386" s="577"/>
      <c r="L386" s="396"/>
      <c r="M386" s="577"/>
      <c r="N386" s="942">
        <f>AVERAGE(J388/H388*100)</f>
        <v>148.14814814814815</v>
      </c>
      <c r="O386" s="944">
        <f>AVERAGE(L388/J388*100)</f>
        <v>100</v>
      </c>
    </row>
    <row r="387" spans="1:15" ht="13.8" x14ac:dyDescent="0.25">
      <c r="A387" s="426"/>
      <c r="B387" s="42"/>
      <c r="C387" s="42"/>
      <c r="D387" s="420" t="s">
        <v>681</v>
      </c>
      <c r="E387" s="387"/>
      <c r="F387" s="396"/>
      <c r="G387" s="396"/>
      <c r="H387" s="396"/>
      <c r="I387" s="577"/>
      <c r="J387" s="396"/>
      <c r="K387" s="577"/>
      <c r="L387" s="396"/>
      <c r="M387" s="577"/>
      <c r="N387" s="943"/>
      <c r="O387" s="945"/>
    </row>
    <row r="388" spans="1:15" s="415" customFormat="1" ht="39" customHeight="1" thickBot="1" x14ac:dyDescent="0.35">
      <c r="A388" s="458"/>
      <c r="B388" s="117"/>
      <c r="C388" s="117"/>
      <c r="D388" s="464" t="s">
        <v>438</v>
      </c>
      <c r="E388" s="459">
        <v>120000</v>
      </c>
      <c r="F388" s="457">
        <f t="shared" ref="F388:M390" si="270">SUM(F389)</f>
        <v>100000</v>
      </c>
      <c r="G388" s="457">
        <f t="shared" si="270"/>
        <v>13272.280841462605</v>
      </c>
      <c r="H388" s="457">
        <f t="shared" si="270"/>
        <v>13500</v>
      </c>
      <c r="I388" s="457">
        <f t="shared" si="270"/>
        <v>101715.75</v>
      </c>
      <c r="J388" s="457">
        <f t="shared" si="270"/>
        <v>20000</v>
      </c>
      <c r="K388" s="457">
        <f t="shared" si="270"/>
        <v>150690</v>
      </c>
      <c r="L388" s="457">
        <f t="shared" si="270"/>
        <v>20000</v>
      </c>
      <c r="M388" s="578">
        <f t="shared" si="270"/>
        <v>150690</v>
      </c>
      <c r="N388" s="943"/>
      <c r="O388" s="945"/>
    </row>
    <row r="389" spans="1:15" ht="14.4" thickTop="1" x14ac:dyDescent="0.25">
      <c r="A389" s="382" t="s">
        <v>574</v>
      </c>
      <c r="B389" s="489"/>
      <c r="C389" s="378">
        <v>41</v>
      </c>
      <c r="D389" s="389" t="s">
        <v>248</v>
      </c>
      <c r="E389" s="386">
        <v>120000</v>
      </c>
      <c r="F389" s="386">
        <f t="shared" si="270"/>
        <v>100000</v>
      </c>
      <c r="G389" s="386">
        <f t="shared" si="270"/>
        <v>13272.280841462605</v>
      </c>
      <c r="H389" s="386">
        <f t="shared" si="270"/>
        <v>13500</v>
      </c>
      <c r="I389" s="386">
        <f t="shared" si="270"/>
        <v>101715.75</v>
      </c>
      <c r="J389" s="386">
        <f t="shared" si="270"/>
        <v>20000</v>
      </c>
      <c r="K389" s="386">
        <f t="shared" si="270"/>
        <v>150690</v>
      </c>
      <c r="L389" s="386">
        <f t="shared" si="270"/>
        <v>20000</v>
      </c>
      <c r="M389" s="581">
        <f t="shared" si="270"/>
        <v>150690</v>
      </c>
      <c r="N389" s="409">
        <f t="shared" ref="N389:N391" si="271">AVERAGE(J389/H389*100)</f>
        <v>148.14814814814815</v>
      </c>
      <c r="O389" s="427">
        <f>AVERAGE(L389/J389*100)</f>
        <v>100</v>
      </c>
    </row>
    <row r="390" spans="1:15" ht="14.4" thickBot="1" x14ac:dyDescent="0.3">
      <c r="A390" s="379" t="s">
        <v>574</v>
      </c>
      <c r="B390" s="488"/>
      <c r="C390" s="391">
        <v>411</v>
      </c>
      <c r="D390" s="392" t="s">
        <v>95</v>
      </c>
      <c r="E390" s="387">
        <v>120000</v>
      </c>
      <c r="F390" s="387">
        <f t="shared" si="270"/>
        <v>100000</v>
      </c>
      <c r="G390" s="387">
        <f t="shared" si="270"/>
        <v>13272.280841462605</v>
      </c>
      <c r="H390" s="387">
        <f t="shared" si="270"/>
        <v>13500</v>
      </c>
      <c r="I390" s="387">
        <f t="shared" si="270"/>
        <v>101715.75</v>
      </c>
      <c r="J390" s="387">
        <f t="shared" si="270"/>
        <v>20000</v>
      </c>
      <c r="K390" s="387">
        <f t="shared" si="270"/>
        <v>150690</v>
      </c>
      <c r="L390" s="387">
        <f t="shared" si="270"/>
        <v>20000</v>
      </c>
      <c r="M390" s="580">
        <f t="shared" si="270"/>
        <v>150690</v>
      </c>
      <c r="N390" s="409">
        <f t="shared" si="271"/>
        <v>148.14814814814815</v>
      </c>
      <c r="O390" s="427">
        <f t="shared" ref="O390:O391" si="272">AVERAGE(L390/J390*100)</f>
        <v>100</v>
      </c>
    </row>
    <row r="391" spans="1:15" ht="14.4" hidden="1" thickBot="1" x14ac:dyDescent="0.3">
      <c r="A391" s="432" t="s">
        <v>462</v>
      </c>
      <c r="B391" s="490"/>
      <c r="C391" s="411">
        <v>4111</v>
      </c>
      <c r="D391" s="412" t="s">
        <v>40</v>
      </c>
      <c r="E391" s="413">
        <v>120000</v>
      </c>
      <c r="F391" s="413">
        <v>100000</v>
      </c>
      <c r="G391" s="413">
        <f>F391/7.5345</f>
        <v>13272.280841462605</v>
      </c>
      <c r="H391" s="413">
        <v>13500</v>
      </c>
      <c r="I391" s="582">
        <f>H391*7.5345</f>
        <v>101715.75</v>
      </c>
      <c r="J391" s="413">
        <v>20000</v>
      </c>
      <c r="K391" s="582">
        <f>J391*7.5345</f>
        <v>150690</v>
      </c>
      <c r="L391" s="413">
        <v>20000</v>
      </c>
      <c r="M391" s="582">
        <f>L391*7.5345</f>
        <v>150690</v>
      </c>
      <c r="N391" s="479">
        <f t="shared" si="271"/>
        <v>148.14814814814815</v>
      </c>
      <c r="O391" s="480">
        <f t="shared" si="272"/>
        <v>100</v>
      </c>
    </row>
    <row r="392" spans="1:15" ht="18" customHeight="1" x14ac:dyDescent="0.25">
      <c r="A392" s="426"/>
      <c r="B392" s="493"/>
      <c r="C392" s="42"/>
      <c r="D392" s="421" t="s">
        <v>471</v>
      </c>
      <c r="E392" s="397"/>
      <c r="F392" s="396"/>
      <c r="G392" s="396"/>
      <c r="H392" s="396"/>
      <c r="I392" s="577"/>
      <c r="J392" s="396"/>
      <c r="K392" s="577"/>
      <c r="L392" s="396"/>
      <c r="M392" s="577"/>
      <c r="N392" s="942">
        <f>AVERAGE(J394/H394*100)</f>
        <v>100</v>
      </c>
      <c r="O392" s="944">
        <f>AVERAGE(L394/J394*100)</f>
        <v>50</v>
      </c>
    </row>
    <row r="393" spans="1:15" s="117" customFormat="1" ht="15.6" x14ac:dyDescent="0.3">
      <c r="A393" s="426"/>
      <c r="B393" s="493"/>
      <c r="C393" s="42"/>
      <c r="D393" s="420" t="s">
        <v>686</v>
      </c>
      <c r="E393" s="387"/>
      <c r="F393" s="396"/>
      <c r="G393" s="396"/>
      <c r="H393" s="396"/>
      <c r="I393" s="577"/>
      <c r="J393" s="396"/>
      <c r="K393" s="577"/>
      <c r="L393" s="396"/>
      <c r="M393" s="577"/>
      <c r="N393" s="943"/>
      <c r="O393" s="945"/>
    </row>
    <row r="394" spans="1:15" ht="15.6" x14ac:dyDescent="0.3">
      <c r="A394" s="458"/>
      <c r="B394" s="494"/>
      <c r="C394" s="117"/>
      <c r="D394" s="464" t="s">
        <v>439</v>
      </c>
      <c r="E394" s="459">
        <v>300000</v>
      </c>
      <c r="F394" s="457">
        <f t="shared" ref="F394:M396" si="273">SUM(F395)</f>
        <v>100000</v>
      </c>
      <c r="G394" s="457">
        <f t="shared" si="273"/>
        <v>13272.280841462605</v>
      </c>
      <c r="H394" s="457">
        <f t="shared" si="273"/>
        <v>20000</v>
      </c>
      <c r="I394" s="457">
        <f t="shared" si="273"/>
        <v>150690</v>
      </c>
      <c r="J394" s="457">
        <f t="shared" si="273"/>
        <v>20000</v>
      </c>
      <c r="K394" s="457">
        <f t="shared" si="273"/>
        <v>150690</v>
      </c>
      <c r="L394" s="457">
        <f t="shared" si="273"/>
        <v>10000</v>
      </c>
      <c r="M394" s="578">
        <f t="shared" si="273"/>
        <v>75345</v>
      </c>
      <c r="N394" s="943"/>
      <c r="O394" s="945"/>
    </row>
    <row r="395" spans="1:15" s="498" customFormat="1" ht="13.8" x14ac:dyDescent="0.25">
      <c r="A395" s="382" t="s">
        <v>575</v>
      </c>
      <c r="B395" s="489"/>
      <c r="C395" s="378">
        <v>42</v>
      </c>
      <c r="D395" s="389" t="s">
        <v>250</v>
      </c>
      <c r="E395" s="386">
        <v>300000</v>
      </c>
      <c r="F395" s="386">
        <f t="shared" si="273"/>
        <v>100000</v>
      </c>
      <c r="G395" s="386">
        <f t="shared" si="273"/>
        <v>13272.280841462605</v>
      </c>
      <c r="H395" s="386">
        <f t="shared" si="273"/>
        <v>20000</v>
      </c>
      <c r="I395" s="386">
        <f t="shared" si="273"/>
        <v>150690</v>
      </c>
      <c r="J395" s="386">
        <f t="shared" si="273"/>
        <v>20000</v>
      </c>
      <c r="K395" s="386">
        <f t="shared" si="273"/>
        <v>150690</v>
      </c>
      <c r="L395" s="386">
        <f t="shared" si="273"/>
        <v>10000</v>
      </c>
      <c r="M395" s="581">
        <f t="shared" si="273"/>
        <v>75345</v>
      </c>
      <c r="N395" s="409">
        <f t="shared" ref="N395:N397" si="274">AVERAGE(J395/H395*100)</f>
        <v>100</v>
      </c>
      <c r="O395" s="427">
        <f>AVERAGE(L395/J395*100)</f>
        <v>50</v>
      </c>
    </row>
    <row r="396" spans="1:15" ht="14.4" thickBot="1" x14ac:dyDescent="0.3">
      <c r="A396" s="379" t="s">
        <v>575</v>
      </c>
      <c r="B396" s="488"/>
      <c r="C396" s="391">
        <v>421</v>
      </c>
      <c r="D396" s="392" t="s">
        <v>97</v>
      </c>
      <c r="E396" s="387">
        <v>300000</v>
      </c>
      <c r="F396" s="387">
        <f t="shared" si="273"/>
        <v>100000</v>
      </c>
      <c r="G396" s="387">
        <f t="shared" si="273"/>
        <v>13272.280841462605</v>
      </c>
      <c r="H396" s="387">
        <f t="shared" si="273"/>
        <v>20000</v>
      </c>
      <c r="I396" s="387">
        <f t="shared" si="273"/>
        <v>150690</v>
      </c>
      <c r="J396" s="387">
        <f t="shared" si="273"/>
        <v>20000</v>
      </c>
      <c r="K396" s="387">
        <f t="shared" si="273"/>
        <v>150690</v>
      </c>
      <c r="L396" s="387">
        <f t="shared" si="273"/>
        <v>10000</v>
      </c>
      <c r="M396" s="580">
        <f t="shared" si="273"/>
        <v>75345</v>
      </c>
      <c r="N396" s="409">
        <f t="shared" si="274"/>
        <v>100</v>
      </c>
      <c r="O396" s="427">
        <f t="shared" ref="O396:O397" si="275">AVERAGE(L396/J396*100)</f>
        <v>50</v>
      </c>
    </row>
    <row r="397" spans="1:15" ht="14.4" hidden="1" thickBot="1" x14ac:dyDescent="0.3">
      <c r="A397" s="432" t="s">
        <v>463</v>
      </c>
      <c r="B397" s="490"/>
      <c r="C397" s="411">
        <v>4214</v>
      </c>
      <c r="D397" s="412" t="s">
        <v>251</v>
      </c>
      <c r="E397" s="413">
        <v>300000</v>
      </c>
      <c r="F397" s="413">
        <v>100000</v>
      </c>
      <c r="G397" s="413">
        <f>F397/7.5345</f>
        <v>13272.280841462605</v>
      </c>
      <c r="H397" s="413">
        <v>20000</v>
      </c>
      <c r="I397" s="582">
        <f>H397*7.5345</f>
        <v>150690</v>
      </c>
      <c r="J397" s="413">
        <v>20000</v>
      </c>
      <c r="K397" s="582">
        <f>J397*7.5345</f>
        <v>150690</v>
      </c>
      <c r="L397" s="413">
        <v>10000</v>
      </c>
      <c r="M397" s="582">
        <f>L397*7.5345</f>
        <v>75345</v>
      </c>
      <c r="N397" s="479">
        <f t="shared" si="274"/>
        <v>100</v>
      </c>
      <c r="O397" s="480">
        <f t="shared" si="275"/>
        <v>50</v>
      </c>
    </row>
    <row r="398" spans="1:15" s="686" customFormat="1" ht="21.75" customHeight="1" thickBot="1" x14ac:dyDescent="0.35">
      <c r="A398" s="771"/>
      <c r="B398" s="798"/>
      <c r="C398" s="773"/>
      <c r="D398" s="760" t="s">
        <v>471</v>
      </c>
      <c r="E398" s="774"/>
      <c r="F398" s="730"/>
      <c r="G398" s="730"/>
      <c r="H398" s="730"/>
      <c r="I398" s="761"/>
      <c r="J398" s="730"/>
      <c r="K398" s="761"/>
      <c r="L398" s="730"/>
      <c r="M398" s="761"/>
      <c r="N398" s="946">
        <f>AVERAGE(J400/H400*100)</f>
        <v>100</v>
      </c>
      <c r="O398" s="958">
        <f>AVERAGE(L400/J400*100)</f>
        <v>104.54545454545455</v>
      </c>
    </row>
    <row r="399" spans="1:15" s="29" customFormat="1" ht="14.4" thickTop="1" x14ac:dyDescent="0.25">
      <c r="A399" s="771"/>
      <c r="B399" s="798"/>
      <c r="C399" s="773"/>
      <c r="D399" s="760" t="s">
        <v>682</v>
      </c>
      <c r="E399" s="728"/>
      <c r="F399" s="730"/>
      <c r="G399" s="730"/>
      <c r="H399" s="730"/>
      <c r="I399" s="761"/>
      <c r="J399" s="730"/>
      <c r="K399" s="761"/>
      <c r="L399" s="730"/>
      <c r="M399" s="761"/>
      <c r="N399" s="947"/>
      <c r="O399" s="959"/>
    </row>
    <row r="400" spans="1:15" ht="15.6" x14ac:dyDescent="0.3">
      <c r="A400" s="775"/>
      <c r="B400" s="793"/>
      <c r="C400" s="777"/>
      <c r="D400" s="729" t="s">
        <v>440</v>
      </c>
      <c r="E400" s="738">
        <v>1472500</v>
      </c>
      <c r="F400" s="712">
        <f t="shared" ref="F400:M400" si="276">SUM(F401)</f>
        <v>950000</v>
      </c>
      <c r="G400" s="712">
        <f t="shared" si="276"/>
        <v>126086.66799389475</v>
      </c>
      <c r="H400" s="712">
        <f t="shared" si="276"/>
        <v>220000</v>
      </c>
      <c r="I400" s="712">
        <f t="shared" si="276"/>
        <v>1657590</v>
      </c>
      <c r="J400" s="712">
        <f t="shared" si="276"/>
        <v>220000</v>
      </c>
      <c r="K400" s="712">
        <f t="shared" si="276"/>
        <v>1657590</v>
      </c>
      <c r="L400" s="712">
        <f t="shared" si="276"/>
        <v>230000</v>
      </c>
      <c r="M400" s="779">
        <f t="shared" si="276"/>
        <v>1732935</v>
      </c>
      <c r="N400" s="947"/>
      <c r="O400" s="959"/>
    </row>
    <row r="401" spans="1:15" ht="13.8" x14ac:dyDescent="0.25">
      <c r="A401" s="799" t="s">
        <v>576</v>
      </c>
      <c r="B401" s="740"/>
      <c r="C401" s="741">
        <v>42</v>
      </c>
      <c r="D401" s="742" t="s">
        <v>250</v>
      </c>
      <c r="E401" s="743">
        <v>1472500</v>
      </c>
      <c r="F401" s="743">
        <f t="shared" ref="F401:M401" si="277">SUM(F402)</f>
        <v>950000</v>
      </c>
      <c r="G401" s="743">
        <f t="shared" si="277"/>
        <v>126086.66799389475</v>
      </c>
      <c r="H401" s="743">
        <f t="shared" si="277"/>
        <v>220000</v>
      </c>
      <c r="I401" s="743">
        <f t="shared" si="277"/>
        <v>1657590</v>
      </c>
      <c r="J401" s="743">
        <f t="shared" si="277"/>
        <v>220000</v>
      </c>
      <c r="K401" s="743">
        <f t="shared" si="277"/>
        <v>1657590</v>
      </c>
      <c r="L401" s="743">
        <f t="shared" si="277"/>
        <v>230000</v>
      </c>
      <c r="M401" s="744">
        <f t="shared" si="277"/>
        <v>1732935</v>
      </c>
      <c r="N401" s="768">
        <f t="shared" ref="N401:N404" si="278">AVERAGE(J401/H401*100)</f>
        <v>100</v>
      </c>
      <c r="O401" s="769">
        <f>AVERAGE(L401/J401*100)</f>
        <v>104.54545454545455</v>
      </c>
    </row>
    <row r="402" spans="1:15" s="837" customFormat="1" ht="14.4" thickBot="1" x14ac:dyDescent="0.3">
      <c r="A402" s="800" t="s">
        <v>576</v>
      </c>
      <c r="B402" s="745"/>
      <c r="C402" s="746">
        <v>421</v>
      </c>
      <c r="D402" s="734" t="s">
        <v>97</v>
      </c>
      <c r="E402" s="728">
        <v>1472500</v>
      </c>
      <c r="F402" s="728">
        <f>SUM(F403:F407)</f>
        <v>950000</v>
      </c>
      <c r="G402" s="728">
        <f>SUM(G403:G407)</f>
        <v>126086.66799389475</v>
      </c>
      <c r="H402" s="728">
        <f>SUM(H403:H407)</f>
        <v>220000</v>
      </c>
      <c r="I402" s="728">
        <f>SUM(I403:I407)</f>
        <v>1657590</v>
      </c>
      <c r="J402" s="728">
        <f>SUM(J403:J407)</f>
        <v>220000</v>
      </c>
      <c r="K402" s="728">
        <f>SUM(K403:K407)</f>
        <v>1657590</v>
      </c>
      <c r="L402" s="728">
        <f>SUM(L403:L407)</f>
        <v>230000</v>
      </c>
      <c r="M402" s="735">
        <f>SUM(M403:M407)</f>
        <v>1732935</v>
      </c>
      <c r="N402" s="768">
        <f t="shared" si="278"/>
        <v>100</v>
      </c>
      <c r="O402" s="769">
        <f t="shared" ref="O402:O407" si="279">AVERAGE(L402/J402*100)</f>
        <v>104.54545454545455</v>
      </c>
    </row>
    <row r="403" spans="1:15" ht="13.8" hidden="1" x14ac:dyDescent="0.25">
      <c r="A403" s="800" t="s">
        <v>576</v>
      </c>
      <c r="B403" s="745"/>
      <c r="C403" s="746">
        <v>4213</v>
      </c>
      <c r="D403" s="734" t="s">
        <v>602</v>
      </c>
      <c r="E403" s="728">
        <v>1472500</v>
      </c>
      <c r="F403" s="728">
        <v>380000</v>
      </c>
      <c r="G403" s="728">
        <f t="shared" ref="G403:G407" si="280">F403/7.5345</f>
        <v>50434.667197557901</v>
      </c>
      <c r="H403" s="728">
        <v>60000</v>
      </c>
      <c r="I403" s="735">
        <f t="shared" ref="I403:I407" si="281">H403*7.5345</f>
        <v>452070</v>
      </c>
      <c r="J403" s="728">
        <v>0</v>
      </c>
      <c r="K403" s="735">
        <f t="shared" ref="K403:K407" si="282">J403*7.5345</f>
        <v>0</v>
      </c>
      <c r="L403" s="728">
        <v>0</v>
      </c>
      <c r="M403" s="735">
        <f t="shared" ref="M403:M407" si="283">L403*7.5345</f>
        <v>0</v>
      </c>
      <c r="N403" s="768">
        <f t="shared" si="278"/>
        <v>0</v>
      </c>
      <c r="O403" s="769">
        <v>0</v>
      </c>
    </row>
    <row r="404" spans="1:15" s="230" customFormat="1" ht="13.5" hidden="1" customHeight="1" x14ac:dyDescent="0.25">
      <c r="A404" s="800" t="s">
        <v>576</v>
      </c>
      <c r="B404" s="745"/>
      <c r="C404" s="746">
        <v>4213</v>
      </c>
      <c r="D404" s="734" t="s">
        <v>621</v>
      </c>
      <c r="E404" s="728">
        <v>1472500</v>
      </c>
      <c r="F404" s="728">
        <v>285000</v>
      </c>
      <c r="G404" s="728">
        <f t="shared" si="280"/>
        <v>37826.00039816842</v>
      </c>
      <c r="H404" s="728">
        <v>60000</v>
      </c>
      <c r="I404" s="735">
        <f t="shared" si="281"/>
        <v>452070</v>
      </c>
      <c r="J404" s="728">
        <v>30000</v>
      </c>
      <c r="K404" s="735">
        <f t="shared" si="282"/>
        <v>226035</v>
      </c>
      <c r="L404" s="728">
        <v>30000</v>
      </c>
      <c r="M404" s="735">
        <f t="shared" si="283"/>
        <v>226035</v>
      </c>
      <c r="N404" s="768">
        <f t="shared" si="278"/>
        <v>50</v>
      </c>
      <c r="O404" s="769">
        <v>0</v>
      </c>
    </row>
    <row r="405" spans="1:15" ht="13.8" hidden="1" x14ac:dyDescent="0.25">
      <c r="A405" s="800" t="s">
        <v>576</v>
      </c>
      <c r="B405" s="745"/>
      <c r="C405" s="746">
        <v>4213</v>
      </c>
      <c r="D405" s="734" t="s">
        <v>621</v>
      </c>
      <c r="E405" s="728">
        <v>1472500</v>
      </c>
      <c r="F405" s="728">
        <v>285000</v>
      </c>
      <c r="G405" s="728">
        <f t="shared" ref="G405" si="284">F405/7.5345</f>
        <v>37826.00039816842</v>
      </c>
      <c r="H405" s="728">
        <v>0</v>
      </c>
      <c r="I405" s="735">
        <f t="shared" ref="I405" si="285">H405*7.5345</f>
        <v>0</v>
      </c>
      <c r="J405" s="728">
        <v>40000</v>
      </c>
      <c r="K405" s="735">
        <f t="shared" ref="K405" si="286">J405*7.5345</f>
        <v>301380</v>
      </c>
      <c r="L405" s="728">
        <v>50000</v>
      </c>
      <c r="M405" s="735">
        <f t="shared" ref="M405" si="287">L405*7.5345</f>
        <v>376725</v>
      </c>
      <c r="N405" s="768" t="e">
        <f t="shared" ref="N405" si="288">AVERAGE(J405/H405*100)</f>
        <v>#DIV/0!</v>
      </c>
      <c r="O405" s="769">
        <v>0</v>
      </c>
    </row>
    <row r="406" spans="1:15" ht="13.8" hidden="1" x14ac:dyDescent="0.25">
      <c r="A406" s="800" t="s">
        <v>576</v>
      </c>
      <c r="B406" s="745"/>
      <c r="C406" s="746">
        <v>4213</v>
      </c>
      <c r="D406" s="734" t="s">
        <v>476</v>
      </c>
      <c r="E406" s="728">
        <v>1472500</v>
      </c>
      <c r="F406" s="728">
        <v>0</v>
      </c>
      <c r="G406" s="728">
        <f t="shared" ref="G406" si="289">F406/7.5345</f>
        <v>0</v>
      </c>
      <c r="H406" s="728">
        <v>100000</v>
      </c>
      <c r="I406" s="735">
        <f t="shared" si="281"/>
        <v>753450</v>
      </c>
      <c r="J406" s="728">
        <v>50000</v>
      </c>
      <c r="K406" s="735">
        <f t="shared" si="282"/>
        <v>376725</v>
      </c>
      <c r="L406" s="728">
        <v>50000</v>
      </c>
      <c r="M406" s="735">
        <f t="shared" si="283"/>
        <v>376725</v>
      </c>
      <c r="N406" s="736">
        <v>0</v>
      </c>
      <c r="O406" s="783">
        <f t="shared" ref="O406" si="290">AVERAGE(L406/J406*100)</f>
        <v>100</v>
      </c>
    </row>
    <row r="407" spans="1:15" ht="14.4" hidden="1" thickBot="1" x14ac:dyDescent="0.3">
      <c r="A407" s="802" t="s">
        <v>576</v>
      </c>
      <c r="B407" s="803"/>
      <c r="C407" s="804">
        <v>4213</v>
      </c>
      <c r="D407" s="805" t="s">
        <v>476</v>
      </c>
      <c r="E407" s="806">
        <v>1472500</v>
      </c>
      <c r="F407" s="806">
        <v>0</v>
      </c>
      <c r="G407" s="806">
        <f t="shared" si="280"/>
        <v>0</v>
      </c>
      <c r="H407" s="806">
        <v>0</v>
      </c>
      <c r="I407" s="851">
        <f t="shared" si="281"/>
        <v>0</v>
      </c>
      <c r="J407" s="806">
        <v>100000</v>
      </c>
      <c r="K407" s="851">
        <f t="shared" si="282"/>
        <v>753450</v>
      </c>
      <c r="L407" s="806">
        <v>100000</v>
      </c>
      <c r="M407" s="851">
        <f t="shared" si="283"/>
        <v>753450</v>
      </c>
      <c r="N407" s="789">
        <v>0</v>
      </c>
      <c r="O407" s="790">
        <f t="shared" si="279"/>
        <v>100</v>
      </c>
    </row>
    <row r="408" spans="1:15" s="415" customFormat="1" ht="28.2" thickBot="1" x14ac:dyDescent="0.3">
      <c r="A408" s="771"/>
      <c r="B408" s="798"/>
      <c r="C408" s="773"/>
      <c r="D408" s="760" t="s">
        <v>406</v>
      </c>
      <c r="E408" s="774"/>
      <c r="F408" s="730"/>
      <c r="G408" s="730"/>
      <c r="H408" s="730"/>
      <c r="I408" s="761"/>
      <c r="J408" s="730"/>
      <c r="K408" s="761"/>
      <c r="L408" s="730"/>
      <c r="M408" s="761"/>
      <c r="N408" s="946">
        <f>AVERAGE(J410/H410*100)</f>
        <v>333.33333333333337</v>
      </c>
      <c r="O408" s="958">
        <f>AVERAGE(L410/J410*100)</f>
        <v>70</v>
      </c>
    </row>
    <row r="409" spans="1:15" s="117" customFormat="1" ht="16.2" thickTop="1" x14ac:dyDescent="0.3">
      <c r="A409" s="771"/>
      <c r="B409" s="798"/>
      <c r="C409" s="773"/>
      <c r="D409" s="787" t="s">
        <v>670</v>
      </c>
      <c r="E409" s="728"/>
      <c r="F409" s="730"/>
      <c r="G409" s="730"/>
      <c r="H409" s="730"/>
      <c r="I409" s="761"/>
      <c r="J409" s="730"/>
      <c r="K409" s="761"/>
      <c r="L409" s="730"/>
      <c r="M409" s="761"/>
      <c r="N409" s="947"/>
      <c r="O409" s="959"/>
    </row>
    <row r="410" spans="1:15" s="29" customFormat="1" ht="31.2" x14ac:dyDescent="0.3">
      <c r="A410" s="775"/>
      <c r="B410" s="793"/>
      <c r="C410" s="777"/>
      <c r="D410" s="729" t="s">
        <v>470</v>
      </c>
      <c r="E410" s="738">
        <v>300000</v>
      </c>
      <c r="F410" s="712">
        <f t="shared" ref="F410:M411" si="291">SUM(F411)</f>
        <v>200000</v>
      </c>
      <c r="G410" s="712">
        <f t="shared" si="291"/>
        <v>26544.56168292521</v>
      </c>
      <c r="H410" s="712">
        <f t="shared" si="291"/>
        <v>30000</v>
      </c>
      <c r="I410" s="712">
        <f t="shared" si="291"/>
        <v>226035</v>
      </c>
      <c r="J410" s="712">
        <f t="shared" si="291"/>
        <v>100000</v>
      </c>
      <c r="K410" s="712">
        <f t="shared" si="291"/>
        <v>753450</v>
      </c>
      <c r="L410" s="712">
        <f t="shared" si="291"/>
        <v>70000</v>
      </c>
      <c r="M410" s="779">
        <f t="shared" si="291"/>
        <v>527415</v>
      </c>
      <c r="N410" s="947"/>
      <c r="O410" s="959"/>
    </row>
    <row r="411" spans="1:15" ht="13.8" x14ac:dyDescent="0.25">
      <c r="A411" s="799" t="s">
        <v>577</v>
      </c>
      <c r="B411" s="740"/>
      <c r="C411" s="741">
        <v>38</v>
      </c>
      <c r="D411" s="742" t="s">
        <v>128</v>
      </c>
      <c r="E411" s="743">
        <v>300000</v>
      </c>
      <c r="F411" s="743">
        <f t="shared" si="291"/>
        <v>200000</v>
      </c>
      <c r="G411" s="743">
        <f t="shared" si="291"/>
        <v>26544.56168292521</v>
      </c>
      <c r="H411" s="743">
        <f t="shared" si="291"/>
        <v>30000</v>
      </c>
      <c r="I411" s="743">
        <f t="shared" si="291"/>
        <v>226035</v>
      </c>
      <c r="J411" s="743">
        <f t="shared" si="291"/>
        <v>100000</v>
      </c>
      <c r="K411" s="743">
        <f t="shared" si="291"/>
        <v>753450</v>
      </c>
      <c r="L411" s="743">
        <f t="shared" si="291"/>
        <v>70000</v>
      </c>
      <c r="M411" s="744">
        <f t="shared" si="291"/>
        <v>527415</v>
      </c>
      <c r="N411" s="768">
        <f t="shared" ref="N411:N414" si="292">AVERAGE(J411/H411*100)</f>
        <v>333.33333333333337</v>
      </c>
      <c r="O411" s="769">
        <f>AVERAGE(L411/J411*100)</f>
        <v>70</v>
      </c>
    </row>
    <row r="412" spans="1:15" ht="14.4" thickBot="1" x14ac:dyDescent="0.3">
      <c r="A412" s="800" t="s">
        <v>577</v>
      </c>
      <c r="B412" s="745"/>
      <c r="C412" s="746">
        <v>386</v>
      </c>
      <c r="D412" s="734" t="s">
        <v>262</v>
      </c>
      <c r="E412" s="728">
        <v>300000</v>
      </c>
      <c r="F412" s="728">
        <f t="shared" ref="F412:L412" si="293">SUM(F413+F414)</f>
        <v>200000</v>
      </c>
      <c r="G412" s="728">
        <f t="shared" si="293"/>
        <v>26544.56168292521</v>
      </c>
      <c r="H412" s="728">
        <f t="shared" si="293"/>
        <v>30000</v>
      </c>
      <c r="I412" s="728">
        <f t="shared" si="293"/>
        <v>226035</v>
      </c>
      <c r="J412" s="728">
        <f t="shared" si="293"/>
        <v>100000</v>
      </c>
      <c r="K412" s="728">
        <f t="shared" si="293"/>
        <v>753450</v>
      </c>
      <c r="L412" s="728">
        <f t="shared" si="293"/>
        <v>70000</v>
      </c>
      <c r="M412" s="735">
        <f t="shared" ref="M412" si="294">SUM(M413+M414)</f>
        <v>527415</v>
      </c>
      <c r="N412" s="768">
        <f t="shared" si="292"/>
        <v>333.33333333333337</v>
      </c>
      <c r="O412" s="769">
        <f t="shared" ref="O412:O414" si="295">AVERAGE(L412/J412*100)</f>
        <v>70</v>
      </c>
    </row>
    <row r="413" spans="1:15" ht="27.6" hidden="1" x14ac:dyDescent="0.25">
      <c r="A413" s="807" t="s">
        <v>577</v>
      </c>
      <c r="B413" s="748"/>
      <c r="C413" s="808">
        <v>3861</v>
      </c>
      <c r="D413" s="809" t="s">
        <v>484</v>
      </c>
      <c r="E413" s="810">
        <v>300000</v>
      </c>
      <c r="F413" s="810">
        <v>150000</v>
      </c>
      <c r="G413" s="811">
        <f>F413/7.5345</f>
        <v>19908.421262193908</v>
      </c>
      <c r="H413" s="811">
        <v>20000</v>
      </c>
      <c r="I413" s="812">
        <f>H413*7.5345</f>
        <v>150690</v>
      </c>
      <c r="J413" s="811">
        <v>30000</v>
      </c>
      <c r="K413" s="812">
        <f>J413*7.5345</f>
        <v>226035</v>
      </c>
      <c r="L413" s="811">
        <v>20000</v>
      </c>
      <c r="M413" s="812">
        <f>L413*7.5345</f>
        <v>150690</v>
      </c>
      <c r="N413" s="813">
        <f t="shared" si="292"/>
        <v>150</v>
      </c>
      <c r="O413" s="814">
        <f t="shared" si="295"/>
        <v>66.666666666666657</v>
      </c>
    </row>
    <row r="414" spans="1:15" ht="28.2" hidden="1" thickBot="1" x14ac:dyDescent="0.3">
      <c r="A414" s="815" t="s">
        <v>577</v>
      </c>
      <c r="B414" s="754"/>
      <c r="C414" s="816">
        <v>3861</v>
      </c>
      <c r="D414" s="817" t="s">
        <v>485</v>
      </c>
      <c r="E414" s="818">
        <v>300000</v>
      </c>
      <c r="F414" s="818">
        <v>50000</v>
      </c>
      <c r="G414" s="818">
        <f>F414/7.5345</f>
        <v>6636.1404207313026</v>
      </c>
      <c r="H414" s="818">
        <v>10000</v>
      </c>
      <c r="I414" s="819">
        <f>H414*7.5345</f>
        <v>75345</v>
      </c>
      <c r="J414" s="818">
        <v>70000</v>
      </c>
      <c r="K414" s="819">
        <f>J414*7.5345</f>
        <v>527415</v>
      </c>
      <c r="L414" s="818">
        <v>50000</v>
      </c>
      <c r="M414" s="819">
        <f>L414*7.5345</f>
        <v>376725</v>
      </c>
      <c r="N414" s="820">
        <f t="shared" si="292"/>
        <v>700</v>
      </c>
      <c r="O414" s="821">
        <f t="shared" si="295"/>
        <v>71.428571428571431</v>
      </c>
    </row>
    <row r="415" spans="1:15" ht="13.8" x14ac:dyDescent="0.25">
      <c r="A415" s="426"/>
      <c r="B415" s="493"/>
      <c r="C415" s="42"/>
      <c r="D415" s="421" t="s">
        <v>471</v>
      </c>
      <c r="E415" s="397"/>
      <c r="F415" s="396"/>
      <c r="G415" s="396"/>
      <c r="H415" s="396"/>
      <c r="I415" s="577"/>
      <c r="J415" s="396"/>
      <c r="K415" s="577"/>
      <c r="L415" s="396"/>
      <c r="M415" s="577"/>
      <c r="N415" s="942">
        <f>AVERAGE(J417/H417*100)</f>
        <v>61.53846153846154</v>
      </c>
      <c r="O415" s="944">
        <f>AVERAGE(L417/J417*100)</f>
        <v>0</v>
      </c>
    </row>
    <row r="416" spans="1:15" ht="13.8" x14ac:dyDescent="0.25">
      <c r="A416" s="426"/>
      <c r="B416" s="493"/>
      <c r="C416" s="42"/>
      <c r="D416" s="420" t="s">
        <v>687</v>
      </c>
      <c r="E416" s="387"/>
      <c r="F416" s="396"/>
      <c r="G416" s="396"/>
      <c r="H416" s="396"/>
      <c r="I416" s="577"/>
      <c r="J416" s="396"/>
      <c r="K416" s="577"/>
      <c r="L416" s="396"/>
      <c r="M416" s="577"/>
      <c r="N416" s="943"/>
      <c r="O416" s="945"/>
    </row>
    <row r="417" spans="1:15" ht="31.2" x14ac:dyDescent="0.3">
      <c r="A417" s="458"/>
      <c r="B417" s="494"/>
      <c r="C417" s="117"/>
      <c r="D417" s="464" t="s">
        <v>598</v>
      </c>
      <c r="E417" s="459">
        <v>300000</v>
      </c>
      <c r="F417" s="457">
        <f t="shared" ref="F417:M419" si="296">SUM(F418)</f>
        <v>500000</v>
      </c>
      <c r="G417" s="457">
        <f t="shared" si="296"/>
        <v>66361.404207313026</v>
      </c>
      <c r="H417" s="457">
        <f>SUM(H418)</f>
        <v>65000</v>
      </c>
      <c r="I417" s="457">
        <f t="shared" ref="I417:L417" si="297">SUM(I418)</f>
        <v>293845.5</v>
      </c>
      <c r="J417" s="457">
        <f t="shared" si="297"/>
        <v>40000</v>
      </c>
      <c r="K417" s="457">
        <f t="shared" si="297"/>
        <v>0</v>
      </c>
      <c r="L417" s="457">
        <f t="shared" si="297"/>
        <v>0</v>
      </c>
      <c r="M417" s="578">
        <f t="shared" si="296"/>
        <v>0</v>
      </c>
      <c r="N417" s="943"/>
      <c r="O417" s="945"/>
    </row>
    <row r="418" spans="1:15" ht="13.8" x14ac:dyDescent="0.25">
      <c r="A418" s="382" t="s">
        <v>578</v>
      </c>
      <c r="B418" s="489"/>
      <c r="C418" s="378">
        <v>42</v>
      </c>
      <c r="D418" s="389" t="s">
        <v>250</v>
      </c>
      <c r="E418" s="386">
        <v>300000</v>
      </c>
      <c r="F418" s="386">
        <f t="shared" si="296"/>
        <v>500000</v>
      </c>
      <c r="G418" s="386">
        <f t="shared" si="296"/>
        <v>66361.404207313026</v>
      </c>
      <c r="H418" s="386">
        <f>SUM(H419+H421)</f>
        <v>65000</v>
      </c>
      <c r="I418" s="386">
        <f t="shared" ref="I418:L418" si="298">SUM(I419+I421)</f>
        <v>293845.5</v>
      </c>
      <c r="J418" s="386">
        <f t="shared" si="298"/>
        <v>40000</v>
      </c>
      <c r="K418" s="386">
        <f t="shared" si="298"/>
        <v>0</v>
      </c>
      <c r="L418" s="386">
        <f t="shared" si="298"/>
        <v>0</v>
      </c>
      <c r="M418" s="581">
        <f t="shared" si="296"/>
        <v>0</v>
      </c>
      <c r="N418" s="409">
        <f t="shared" ref="N418:N422" si="299">AVERAGE(J418/H418*100)</f>
        <v>61.53846153846154</v>
      </c>
      <c r="O418" s="427">
        <f>AVERAGE(L418/J418*100)</f>
        <v>0</v>
      </c>
    </row>
    <row r="419" spans="1:15" s="606" customFormat="1" ht="15.6" x14ac:dyDescent="0.25">
      <c r="A419" s="379" t="s">
        <v>578</v>
      </c>
      <c r="B419" s="488"/>
      <c r="C419" s="391">
        <v>421</v>
      </c>
      <c r="D419" s="392" t="s">
        <v>97</v>
      </c>
      <c r="E419" s="387">
        <v>300000</v>
      </c>
      <c r="F419" s="387">
        <f t="shared" si="296"/>
        <v>500000</v>
      </c>
      <c r="G419" s="387">
        <f t="shared" si="296"/>
        <v>66361.404207313026</v>
      </c>
      <c r="H419" s="387">
        <f t="shared" si="296"/>
        <v>39000</v>
      </c>
      <c r="I419" s="387">
        <f t="shared" si="296"/>
        <v>293845.5</v>
      </c>
      <c r="J419" s="387">
        <f t="shared" si="296"/>
        <v>0</v>
      </c>
      <c r="K419" s="387">
        <f t="shared" si="296"/>
        <v>0</v>
      </c>
      <c r="L419" s="387">
        <f t="shared" si="296"/>
        <v>0</v>
      </c>
      <c r="M419" s="580">
        <f t="shared" si="296"/>
        <v>0</v>
      </c>
      <c r="N419" s="409">
        <f t="shared" si="299"/>
        <v>0</v>
      </c>
      <c r="O419" s="427" t="e">
        <f t="shared" ref="O419:O422" si="300">AVERAGE(L419/J419*100)</f>
        <v>#DIV/0!</v>
      </c>
    </row>
    <row r="420" spans="1:15" s="29" customFormat="1" ht="13.8" hidden="1" x14ac:dyDescent="0.25">
      <c r="A420" s="380" t="s">
        <v>578</v>
      </c>
      <c r="B420" s="495"/>
      <c r="C420" s="424">
        <v>4214</v>
      </c>
      <c r="D420" s="394" t="s">
        <v>251</v>
      </c>
      <c r="E420" s="385">
        <v>300000</v>
      </c>
      <c r="F420" s="385">
        <v>500000</v>
      </c>
      <c r="G420" s="385">
        <f>F420/7.5345</f>
        <v>66361.404207313026</v>
      </c>
      <c r="H420" s="385">
        <v>39000</v>
      </c>
      <c r="I420" s="583">
        <f>H420*7.5345</f>
        <v>293845.5</v>
      </c>
      <c r="J420" s="385">
        <v>0</v>
      </c>
      <c r="K420" s="583">
        <f>J420*7.5345</f>
        <v>0</v>
      </c>
      <c r="L420" s="385">
        <v>0</v>
      </c>
      <c r="M420" s="583">
        <f>L420*7.5345</f>
        <v>0</v>
      </c>
      <c r="N420" s="404">
        <f t="shared" si="299"/>
        <v>0</v>
      </c>
      <c r="O420" s="404" t="e">
        <f t="shared" si="300"/>
        <v>#DIV/0!</v>
      </c>
    </row>
    <row r="421" spans="1:15" ht="13.8" x14ac:dyDescent="0.25">
      <c r="A421" s="390" t="s">
        <v>578</v>
      </c>
      <c r="B421" s="488"/>
      <c r="C421" s="391">
        <v>421</v>
      </c>
      <c r="D421" s="392" t="s">
        <v>97</v>
      </c>
      <c r="E421" s="387"/>
      <c r="F421" s="387"/>
      <c r="G421" s="387"/>
      <c r="H421" s="387">
        <f>SUM(H422)</f>
        <v>26000</v>
      </c>
      <c r="I421" s="387">
        <f t="shared" ref="I421:L421" si="301">SUM(I422)</f>
        <v>0</v>
      </c>
      <c r="J421" s="387">
        <f t="shared" si="301"/>
        <v>40000</v>
      </c>
      <c r="K421" s="387">
        <f t="shared" si="301"/>
        <v>0</v>
      </c>
      <c r="L421" s="387">
        <f t="shared" si="301"/>
        <v>0</v>
      </c>
      <c r="M421" s="580"/>
      <c r="N421" s="404">
        <f t="shared" si="299"/>
        <v>153.84615384615387</v>
      </c>
      <c r="O421" s="404">
        <f t="shared" si="300"/>
        <v>0</v>
      </c>
    </row>
    <row r="422" spans="1:15" ht="21" hidden="1" customHeight="1" thickBot="1" x14ac:dyDescent="0.3">
      <c r="A422" s="713" t="s">
        <v>578</v>
      </c>
      <c r="B422" s="490"/>
      <c r="C422" s="411">
        <v>4214</v>
      </c>
      <c r="D422" s="412" t="s">
        <v>251</v>
      </c>
      <c r="E422" s="413"/>
      <c r="F422" s="413"/>
      <c r="G422" s="413"/>
      <c r="H422" s="413">
        <v>26000</v>
      </c>
      <c r="I422" s="582"/>
      <c r="J422" s="413">
        <v>40000</v>
      </c>
      <c r="K422" s="582"/>
      <c r="L422" s="413">
        <v>0</v>
      </c>
      <c r="M422" s="582"/>
      <c r="N422" s="414">
        <f t="shared" si="299"/>
        <v>153.84615384615387</v>
      </c>
      <c r="O422" s="414">
        <f t="shared" si="300"/>
        <v>0</v>
      </c>
    </row>
    <row r="423" spans="1:15" ht="13.8" x14ac:dyDescent="0.25">
      <c r="A423" s="136"/>
      <c r="B423" s="383"/>
      <c r="C423" s="726"/>
      <c r="D423" s="725" t="s">
        <v>605</v>
      </c>
      <c r="E423" s="724"/>
      <c r="F423" s="396"/>
      <c r="G423" s="396"/>
      <c r="H423" s="396"/>
      <c r="I423" s="577"/>
      <c r="J423" s="396"/>
      <c r="K423" s="577"/>
      <c r="L423" s="396"/>
      <c r="M423" s="577"/>
      <c r="N423" s="408"/>
      <c r="O423" s="723"/>
    </row>
    <row r="424" spans="1:15" ht="13.8" x14ac:dyDescent="0.25">
      <c r="A424" s="136"/>
      <c r="B424" s="383"/>
      <c r="C424" s="726"/>
      <c r="D424" s="725" t="s">
        <v>252</v>
      </c>
      <c r="E424" s="724"/>
      <c r="F424" s="396"/>
      <c r="G424" s="396"/>
      <c r="H424" s="396"/>
      <c r="I424" s="577"/>
      <c r="J424" s="396"/>
      <c r="K424" s="577"/>
      <c r="L424" s="396"/>
      <c r="M424" s="577"/>
      <c r="N424" s="408"/>
      <c r="O424" s="723"/>
    </row>
    <row r="425" spans="1:15" s="117" customFormat="1" ht="28.2" x14ac:dyDescent="0.3">
      <c r="A425" s="136"/>
      <c r="B425" s="383"/>
      <c r="C425" s="208"/>
      <c r="D425" s="393" t="s">
        <v>606</v>
      </c>
      <c r="E425" s="396"/>
      <c r="F425" s="396"/>
      <c r="G425" s="396"/>
      <c r="H425" s="727">
        <f>SUM(H426)</f>
        <v>0</v>
      </c>
      <c r="I425" s="727">
        <f t="shared" ref="I425:L425" si="302">SUM(I426)</f>
        <v>0</v>
      </c>
      <c r="J425" s="727">
        <f t="shared" si="302"/>
        <v>100000</v>
      </c>
      <c r="K425" s="727">
        <f t="shared" si="302"/>
        <v>0</v>
      </c>
      <c r="L425" s="727">
        <f t="shared" si="302"/>
        <v>600000</v>
      </c>
      <c r="M425" s="577"/>
      <c r="N425" s="408" t="e">
        <f>AVERAGE(J425/H425*100)</f>
        <v>#DIV/0!</v>
      </c>
      <c r="O425" s="723">
        <f>AVERAGE(L425/J425*100)</f>
        <v>600</v>
      </c>
    </row>
    <row r="426" spans="1:15" s="29" customFormat="1" ht="13.8" x14ac:dyDescent="0.25">
      <c r="A426" s="388" t="s">
        <v>607</v>
      </c>
      <c r="B426" s="488"/>
      <c r="C426" s="378">
        <v>42</v>
      </c>
      <c r="D426" s="392" t="s">
        <v>250</v>
      </c>
      <c r="E426" s="387"/>
      <c r="F426" s="387"/>
      <c r="G426" s="387"/>
      <c r="H426" s="386">
        <f>SUM(H427+H429)</f>
        <v>0</v>
      </c>
      <c r="I426" s="386">
        <f t="shared" ref="I426:L426" si="303">SUM(I427+I429)</f>
        <v>0</v>
      </c>
      <c r="J426" s="386">
        <f t="shared" si="303"/>
        <v>100000</v>
      </c>
      <c r="K426" s="386">
        <f t="shared" si="303"/>
        <v>0</v>
      </c>
      <c r="L426" s="386">
        <f t="shared" si="303"/>
        <v>600000</v>
      </c>
      <c r="M426" s="580"/>
      <c r="N426" s="408" t="e">
        <f t="shared" ref="N426:N430" si="304">AVERAGE(J426/H426*100)</f>
        <v>#DIV/0!</v>
      </c>
      <c r="O426" s="723">
        <f t="shared" ref="O426:O430" si="305">AVERAGE(L426/J426*100)</f>
        <v>600</v>
      </c>
    </row>
    <row r="427" spans="1:15" s="415" customFormat="1" ht="14.4" thickBot="1" x14ac:dyDescent="0.3">
      <c r="A427" s="390" t="s">
        <v>607</v>
      </c>
      <c r="B427" s="488"/>
      <c r="C427" s="391">
        <v>421</v>
      </c>
      <c r="D427" s="392" t="s">
        <v>97</v>
      </c>
      <c r="E427" s="387"/>
      <c r="F427" s="387"/>
      <c r="G427" s="387"/>
      <c r="H427" s="387">
        <f>SUM(H428)</f>
        <v>0</v>
      </c>
      <c r="I427" s="387">
        <f t="shared" ref="I427:L427" si="306">SUM(I428)</f>
        <v>0</v>
      </c>
      <c r="J427" s="387">
        <f t="shared" si="306"/>
        <v>85000</v>
      </c>
      <c r="K427" s="387">
        <f t="shared" si="306"/>
        <v>0</v>
      </c>
      <c r="L427" s="387">
        <f t="shared" si="306"/>
        <v>510000</v>
      </c>
      <c r="M427" s="580"/>
      <c r="N427" s="408" t="e">
        <f t="shared" si="304"/>
        <v>#DIV/0!</v>
      </c>
      <c r="O427" s="723">
        <f t="shared" si="305"/>
        <v>600</v>
      </c>
    </row>
    <row r="428" spans="1:15" ht="14.4" hidden="1" thickTop="1" x14ac:dyDescent="0.25">
      <c r="A428" s="390" t="s">
        <v>607</v>
      </c>
      <c r="B428" s="488"/>
      <c r="C428" s="391">
        <v>4214</v>
      </c>
      <c r="D428" s="392" t="s">
        <v>251</v>
      </c>
      <c r="E428" s="387"/>
      <c r="F428" s="387"/>
      <c r="G428" s="387"/>
      <c r="H428" s="387">
        <v>0</v>
      </c>
      <c r="I428" s="580"/>
      <c r="J428" s="387">
        <v>85000</v>
      </c>
      <c r="K428" s="580"/>
      <c r="L428" s="387">
        <v>510000</v>
      </c>
      <c r="M428" s="580"/>
      <c r="N428" s="408" t="e">
        <f t="shared" si="304"/>
        <v>#DIV/0!</v>
      </c>
      <c r="O428" s="723">
        <f t="shared" si="305"/>
        <v>600</v>
      </c>
    </row>
    <row r="429" spans="1:15" ht="14.4" thickTop="1" x14ac:dyDescent="0.25">
      <c r="A429" s="390" t="s">
        <v>607</v>
      </c>
      <c r="B429" s="488"/>
      <c r="C429" s="391">
        <v>421</v>
      </c>
      <c r="D429" s="392" t="s">
        <v>97</v>
      </c>
      <c r="E429" s="387"/>
      <c r="F429" s="387"/>
      <c r="G429" s="387"/>
      <c r="H429" s="387">
        <f>SUM(H430)</f>
        <v>0</v>
      </c>
      <c r="I429" s="387">
        <f t="shared" ref="I429:L429" si="307">SUM(I430)</f>
        <v>0</v>
      </c>
      <c r="J429" s="387">
        <f t="shared" si="307"/>
        <v>15000</v>
      </c>
      <c r="K429" s="387">
        <f t="shared" si="307"/>
        <v>0</v>
      </c>
      <c r="L429" s="387">
        <f t="shared" si="307"/>
        <v>90000</v>
      </c>
      <c r="M429" s="580"/>
      <c r="N429" s="408" t="e">
        <f t="shared" si="304"/>
        <v>#DIV/0!</v>
      </c>
      <c r="O429" s="723">
        <f t="shared" si="305"/>
        <v>600</v>
      </c>
    </row>
    <row r="430" spans="1:15" ht="14.4" hidden="1" thickBot="1" x14ac:dyDescent="0.3">
      <c r="A430" s="713" t="s">
        <v>607</v>
      </c>
      <c r="B430" s="490"/>
      <c r="C430" s="411">
        <v>4214</v>
      </c>
      <c r="D430" s="412" t="s">
        <v>251</v>
      </c>
      <c r="E430" s="413"/>
      <c r="F430" s="413"/>
      <c r="G430" s="413"/>
      <c r="H430" s="413">
        <v>0</v>
      </c>
      <c r="I430" s="582"/>
      <c r="J430" s="413">
        <v>15000</v>
      </c>
      <c r="K430" s="582"/>
      <c r="L430" s="413">
        <v>90000</v>
      </c>
      <c r="M430" s="582"/>
      <c r="N430" s="408" t="e">
        <f t="shared" si="304"/>
        <v>#DIV/0!</v>
      </c>
      <c r="O430" s="723">
        <f t="shared" si="305"/>
        <v>600</v>
      </c>
    </row>
    <row r="431" spans="1:15" s="117" customFormat="1" ht="18" thickBot="1" x14ac:dyDescent="0.35">
      <c r="A431" s="977" t="s">
        <v>641</v>
      </c>
      <c r="B431" s="978"/>
      <c r="C431" s="978"/>
      <c r="D431" s="979"/>
      <c r="E431" s="718" t="e">
        <f>SUM(E434+#REF!+E442+E448+E460+E467+#REF!+E474+#REF!+E480)</f>
        <v>#REF!</v>
      </c>
      <c r="F431" s="718" t="e">
        <f>SUM(F434+F442+F448+F460+F467+#REF!+F474+#REF!+F480+#REF!+F487+F496)</f>
        <v>#REF!</v>
      </c>
      <c r="G431" s="718" t="e">
        <f>SUM(G434+G442+G448+G460+G467+#REF!+G474+#REF!+G480+#REF!+G487+G496)</f>
        <v>#REF!</v>
      </c>
      <c r="H431" s="718">
        <f>SUM(H434+H442+H448+H454+H460+H467+H474+H480+H487+H496+H504)</f>
        <v>1176500</v>
      </c>
      <c r="I431" s="719" t="e">
        <f>SUM(I434+I442+I448+I460+I467+#REF!+I474+#REF!+I480+#REF!+I487+I496+I504)</f>
        <v>#REF!</v>
      </c>
      <c r="J431" s="718">
        <f>SUM(J434+J442+J448+J454+J460+J467+J474+J480+J487+J496+J504+J511)</f>
        <v>1128000</v>
      </c>
      <c r="K431" s="719" t="e">
        <f>SUM(K434+K442+K448+K460+K467+#REF!+K474+#REF!+K480+#REF!+K487+K496+K504)</f>
        <v>#REF!</v>
      </c>
      <c r="L431" s="718">
        <f>SUM(L434+L442+L448+L454+L460+L467+L474+L480+L487+L496+L504+L511)</f>
        <v>827000</v>
      </c>
      <c r="M431" s="719" t="e">
        <f>SUM(M434+M442+M448+M460+M467+#REF!+M474+#REF!+M480+#REF!+M487+M496)</f>
        <v>#REF!</v>
      </c>
      <c r="N431" s="716">
        <f>AVERAGE(J431/H431*100)</f>
        <v>95.877603059923501</v>
      </c>
      <c r="O431" s="717">
        <f>AVERAGE(L431/J431*100)</f>
        <v>73.315602836879435</v>
      </c>
    </row>
    <row r="432" spans="1:15" s="29" customFormat="1" ht="27.6" x14ac:dyDescent="0.25">
      <c r="A432" s="426"/>
      <c r="B432" s="42"/>
      <c r="C432" s="42"/>
      <c r="D432" s="421" t="s">
        <v>406</v>
      </c>
      <c r="E432" s="397"/>
      <c r="F432" s="396"/>
      <c r="G432" s="396"/>
      <c r="H432" s="396"/>
      <c r="I432" s="577"/>
      <c r="J432" s="396"/>
      <c r="K432" s="577"/>
      <c r="L432" s="396"/>
      <c r="M432" s="577"/>
      <c r="N432" s="942">
        <f>AVERAGE(J434/H434*100)</f>
        <v>55.000000000000007</v>
      </c>
      <c r="O432" s="944">
        <f>AVERAGE(L434/J434*100)</f>
        <v>96.969696969696969</v>
      </c>
    </row>
    <row r="433" spans="1:15" s="415" customFormat="1" ht="14.4" thickBot="1" x14ac:dyDescent="0.3">
      <c r="A433" s="426"/>
      <c r="B433" s="42"/>
      <c r="C433" s="42"/>
      <c r="D433" s="421" t="s">
        <v>681</v>
      </c>
      <c r="E433" s="387"/>
      <c r="F433" s="396"/>
      <c r="G433" s="396"/>
      <c r="H433" s="396"/>
      <c r="I433" s="577"/>
      <c r="J433" s="396"/>
      <c r="K433" s="577"/>
      <c r="L433" s="396"/>
      <c r="M433" s="577"/>
      <c r="N433" s="943"/>
      <c r="O433" s="945"/>
    </row>
    <row r="434" spans="1:15" ht="16.2" thickTop="1" x14ac:dyDescent="0.3">
      <c r="A434" s="458"/>
      <c r="B434" s="117"/>
      <c r="C434" s="117"/>
      <c r="D434" s="464" t="s">
        <v>441</v>
      </c>
      <c r="E434" s="459">
        <v>247000</v>
      </c>
      <c r="F434" s="457">
        <f t="shared" ref="F434:M434" si="308">SUM(F435)</f>
        <v>230000</v>
      </c>
      <c r="G434" s="457">
        <f t="shared" si="308"/>
        <v>30526.245935363993</v>
      </c>
      <c r="H434" s="457">
        <f t="shared" si="308"/>
        <v>60000</v>
      </c>
      <c r="I434" s="457">
        <f t="shared" si="308"/>
        <v>452070</v>
      </c>
      <c r="J434" s="457">
        <f t="shared" si="308"/>
        <v>33000</v>
      </c>
      <c r="K434" s="457">
        <f t="shared" si="308"/>
        <v>248638.5</v>
      </c>
      <c r="L434" s="457">
        <f t="shared" si="308"/>
        <v>32000</v>
      </c>
      <c r="M434" s="578">
        <f t="shared" si="308"/>
        <v>241104</v>
      </c>
      <c r="N434" s="943"/>
      <c r="O434" s="945"/>
    </row>
    <row r="435" spans="1:15" ht="13.8" x14ac:dyDescent="0.25">
      <c r="A435" s="382" t="s">
        <v>579</v>
      </c>
      <c r="B435" s="489"/>
      <c r="C435" s="378">
        <v>32</v>
      </c>
      <c r="D435" s="389" t="s">
        <v>47</v>
      </c>
      <c r="E435" s="386">
        <v>247000</v>
      </c>
      <c r="F435" s="386">
        <f t="shared" ref="F435:L435" si="309">SUM(F436+F438)</f>
        <v>230000</v>
      </c>
      <c r="G435" s="386">
        <f t="shared" si="309"/>
        <v>30526.245935363993</v>
      </c>
      <c r="H435" s="386">
        <f t="shared" si="309"/>
        <v>60000</v>
      </c>
      <c r="I435" s="386">
        <f t="shared" si="309"/>
        <v>452070</v>
      </c>
      <c r="J435" s="386">
        <f t="shared" si="309"/>
        <v>33000</v>
      </c>
      <c r="K435" s="386">
        <f t="shared" si="309"/>
        <v>248638.5</v>
      </c>
      <c r="L435" s="386">
        <f t="shared" si="309"/>
        <v>32000</v>
      </c>
      <c r="M435" s="581">
        <f t="shared" ref="M435" si="310">SUM(M436+M438)</f>
        <v>241104</v>
      </c>
      <c r="N435" s="409">
        <f t="shared" ref="N435:N439" si="311">AVERAGE(J435/H435*100)</f>
        <v>55.000000000000007</v>
      </c>
      <c r="O435" s="427">
        <f>AVERAGE(L435/J435*100)</f>
        <v>96.969696969696969</v>
      </c>
    </row>
    <row r="436" spans="1:15" s="117" customFormat="1" ht="15.6" x14ac:dyDescent="0.3">
      <c r="A436" s="379" t="s">
        <v>579</v>
      </c>
      <c r="B436" s="488"/>
      <c r="C436" s="391">
        <v>322</v>
      </c>
      <c r="D436" s="392" t="s">
        <v>52</v>
      </c>
      <c r="E436" s="387">
        <v>30000</v>
      </c>
      <c r="F436" s="387">
        <f t="shared" ref="F436:M436" si="312">SUM(F437)</f>
        <v>30000</v>
      </c>
      <c r="G436" s="387">
        <f t="shared" si="312"/>
        <v>3981.6842524387812</v>
      </c>
      <c r="H436" s="387">
        <f t="shared" si="312"/>
        <v>2000</v>
      </c>
      <c r="I436" s="387">
        <f t="shared" si="312"/>
        <v>15069</v>
      </c>
      <c r="J436" s="387">
        <f t="shared" si="312"/>
        <v>3000</v>
      </c>
      <c r="K436" s="387">
        <f t="shared" si="312"/>
        <v>22603.5</v>
      </c>
      <c r="L436" s="387">
        <f t="shared" si="312"/>
        <v>2000</v>
      </c>
      <c r="M436" s="580">
        <f t="shared" si="312"/>
        <v>15069</v>
      </c>
      <c r="N436" s="409">
        <f t="shared" si="311"/>
        <v>150</v>
      </c>
      <c r="O436" s="427">
        <f t="shared" ref="O436:O439" si="313">AVERAGE(L436/J436*100)</f>
        <v>66.666666666666657</v>
      </c>
    </row>
    <row r="437" spans="1:15" s="29" customFormat="1" ht="13.8" hidden="1" x14ac:dyDescent="0.25">
      <c r="A437" s="379" t="s">
        <v>579</v>
      </c>
      <c r="B437" s="488"/>
      <c r="C437" s="391">
        <v>3224</v>
      </c>
      <c r="D437" s="392" t="s">
        <v>189</v>
      </c>
      <c r="E437" s="387">
        <v>30000</v>
      </c>
      <c r="F437" s="387">
        <v>30000</v>
      </c>
      <c r="G437" s="387">
        <f>F437/7.5345</f>
        <v>3981.6842524387812</v>
      </c>
      <c r="H437" s="387">
        <v>2000</v>
      </c>
      <c r="I437" s="580">
        <f>H437*7.5345</f>
        <v>15069</v>
      </c>
      <c r="J437" s="387">
        <v>3000</v>
      </c>
      <c r="K437" s="580">
        <f>J437*7.5345</f>
        <v>22603.5</v>
      </c>
      <c r="L437" s="387">
        <v>2000</v>
      </c>
      <c r="M437" s="580">
        <f>L437*7.5345</f>
        <v>15069</v>
      </c>
      <c r="N437" s="409">
        <f t="shared" si="311"/>
        <v>150</v>
      </c>
      <c r="O437" s="427">
        <f t="shared" si="313"/>
        <v>66.666666666666657</v>
      </c>
    </row>
    <row r="438" spans="1:15" ht="14.4" thickBot="1" x14ac:dyDescent="0.3">
      <c r="A438" s="379" t="s">
        <v>579</v>
      </c>
      <c r="B438" s="488"/>
      <c r="C438" s="391">
        <v>323</v>
      </c>
      <c r="D438" s="392" t="s">
        <v>56</v>
      </c>
      <c r="E438" s="387">
        <v>217000</v>
      </c>
      <c r="F438" s="387">
        <f t="shared" ref="F438:M438" si="314">SUM(F439)</f>
        <v>200000</v>
      </c>
      <c r="G438" s="387">
        <f t="shared" si="314"/>
        <v>26544.56168292521</v>
      </c>
      <c r="H438" s="387">
        <f t="shared" si="314"/>
        <v>58000</v>
      </c>
      <c r="I438" s="387">
        <f t="shared" si="314"/>
        <v>437001</v>
      </c>
      <c r="J438" s="387">
        <f t="shared" si="314"/>
        <v>30000</v>
      </c>
      <c r="K438" s="387">
        <f t="shared" si="314"/>
        <v>226035</v>
      </c>
      <c r="L438" s="387">
        <f t="shared" si="314"/>
        <v>30000</v>
      </c>
      <c r="M438" s="387">
        <f t="shared" si="314"/>
        <v>226035</v>
      </c>
      <c r="N438" s="409">
        <f t="shared" si="311"/>
        <v>51.724137931034484</v>
      </c>
      <c r="O438" s="427">
        <f t="shared" si="313"/>
        <v>100</v>
      </c>
    </row>
    <row r="439" spans="1:15" s="415" customFormat="1" ht="14.4" hidden="1" thickBot="1" x14ac:dyDescent="0.3">
      <c r="A439" s="432" t="s">
        <v>579</v>
      </c>
      <c r="B439" s="490"/>
      <c r="C439" s="411">
        <v>3232</v>
      </c>
      <c r="D439" s="412" t="s">
        <v>242</v>
      </c>
      <c r="E439" s="413">
        <v>217000</v>
      </c>
      <c r="F439" s="413">
        <v>200000</v>
      </c>
      <c r="G439" s="413">
        <f>F439/7.5345</f>
        <v>26544.56168292521</v>
      </c>
      <c r="H439" s="413">
        <v>58000</v>
      </c>
      <c r="I439" s="582">
        <f>H439*7.5345</f>
        <v>437001</v>
      </c>
      <c r="J439" s="413">
        <v>30000</v>
      </c>
      <c r="K439" s="582">
        <f>J439*7.5345</f>
        <v>226035</v>
      </c>
      <c r="L439" s="413">
        <v>30000</v>
      </c>
      <c r="M439" s="582">
        <f>L439*7.5345</f>
        <v>226035</v>
      </c>
      <c r="N439" s="479">
        <f t="shared" si="311"/>
        <v>51.724137931034484</v>
      </c>
      <c r="O439" s="480">
        <f t="shared" si="313"/>
        <v>100</v>
      </c>
    </row>
    <row r="440" spans="1:15" s="29" customFormat="1" ht="27.6" hidden="1" x14ac:dyDescent="0.25">
      <c r="A440" s="426"/>
      <c r="B440" s="493"/>
      <c r="C440" s="42"/>
      <c r="D440" s="421" t="s">
        <v>406</v>
      </c>
      <c r="E440" s="397"/>
      <c r="F440" s="396"/>
      <c r="G440" s="396"/>
      <c r="H440" s="396"/>
      <c r="I440" s="577"/>
      <c r="J440" s="396"/>
      <c r="K440" s="577"/>
      <c r="L440" s="396"/>
      <c r="M440" s="577"/>
      <c r="N440" s="942" t="e">
        <f>AVERAGE(J442/H442*100)</f>
        <v>#DIV/0!</v>
      </c>
      <c r="O440" s="944">
        <v>0</v>
      </c>
    </row>
    <row r="441" spans="1:15" ht="13.8" hidden="1" x14ac:dyDescent="0.25">
      <c r="A441" s="426"/>
      <c r="B441" s="493"/>
      <c r="C441" s="42"/>
      <c r="D441" s="421" t="s">
        <v>254</v>
      </c>
      <c r="E441" s="387"/>
      <c r="F441" s="396"/>
      <c r="G441" s="396"/>
      <c r="H441" s="396"/>
      <c r="I441" s="577"/>
      <c r="J441" s="396"/>
      <c r="K441" s="577"/>
      <c r="L441" s="396"/>
      <c r="M441" s="577"/>
      <c r="N441" s="943"/>
      <c r="O441" s="945"/>
    </row>
    <row r="442" spans="1:15" ht="31.2" hidden="1" x14ac:dyDescent="0.3">
      <c r="A442" s="458"/>
      <c r="B442" s="494"/>
      <c r="C442" s="117"/>
      <c r="D442" s="464" t="s">
        <v>492</v>
      </c>
      <c r="E442" s="459">
        <v>760000</v>
      </c>
      <c r="F442" s="457">
        <f t="shared" ref="F442:M444" si="315">SUM(F443)</f>
        <v>500000</v>
      </c>
      <c r="G442" s="457">
        <f t="shared" si="315"/>
        <v>66361.404207313026</v>
      </c>
      <c r="H442" s="457">
        <f t="shared" si="315"/>
        <v>0</v>
      </c>
      <c r="I442" s="578">
        <f t="shared" si="315"/>
        <v>0</v>
      </c>
      <c r="J442" s="457">
        <f t="shared" si="315"/>
        <v>0</v>
      </c>
      <c r="K442" s="578">
        <f t="shared" si="315"/>
        <v>0</v>
      </c>
      <c r="L442" s="457">
        <f t="shared" si="315"/>
        <v>0</v>
      </c>
      <c r="M442" s="578">
        <f t="shared" si="315"/>
        <v>0</v>
      </c>
      <c r="N442" s="943"/>
      <c r="O442" s="945"/>
    </row>
    <row r="443" spans="1:15" ht="13.8" hidden="1" x14ac:dyDescent="0.25">
      <c r="A443" s="382" t="s">
        <v>580</v>
      </c>
      <c r="B443" s="489"/>
      <c r="C443" s="378">
        <v>42</v>
      </c>
      <c r="D443" s="389" t="s">
        <v>250</v>
      </c>
      <c r="E443" s="386">
        <v>760000</v>
      </c>
      <c r="F443" s="386">
        <f t="shared" si="315"/>
        <v>500000</v>
      </c>
      <c r="G443" s="386">
        <f t="shared" si="315"/>
        <v>66361.404207313026</v>
      </c>
      <c r="H443" s="386">
        <f t="shared" si="315"/>
        <v>0</v>
      </c>
      <c r="I443" s="581">
        <f t="shared" si="315"/>
        <v>0</v>
      </c>
      <c r="J443" s="386">
        <f t="shared" si="315"/>
        <v>0</v>
      </c>
      <c r="K443" s="581">
        <f t="shared" si="315"/>
        <v>0</v>
      </c>
      <c r="L443" s="386">
        <f t="shared" si="315"/>
        <v>0</v>
      </c>
      <c r="M443" s="581">
        <f t="shared" si="315"/>
        <v>0</v>
      </c>
      <c r="N443" s="409" t="e">
        <f t="shared" ref="N443:N445" si="316">AVERAGE(J443/H443*100)</f>
        <v>#DIV/0!</v>
      </c>
      <c r="O443" s="427">
        <v>0</v>
      </c>
    </row>
    <row r="444" spans="1:15" ht="13.8" hidden="1" x14ac:dyDescent="0.25">
      <c r="A444" s="379" t="s">
        <v>580</v>
      </c>
      <c r="B444" s="488"/>
      <c r="C444" s="391">
        <v>421</v>
      </c>
      <c r="D444" s="392" t="s">
        <v>97</v>
      </c>
      <c r="E444" s="387">
        <v>760000</v>
      </c>
      <c r="F444" s="387">
        <f t="shared" si="315"/>
        <v>500000</v>
      </c>
      <c r="G444" s="387">
        <f t="shared" si="315"/>
        <v>66361.404207313026</v>
      </c>
      <c r="H444" s="387">
        <f t="shared" si="315"/>
        <v>0</v>
      </c>
      <c r="I444" s="580">
        <f t="shared" si="315"/>
        <v>0</v>
      </c>
      <c r="J444" s="387">
        <f t="shared" si="315"/>
        <v>0</v>
      </c>
      <c r="K444" s="580">
        <f t="shared" si="315"/>
        <v>0</v>
      </c>
      <c r="L444" s="387">
        <f t="shared" si="315"/>
        <v>0</v>
      </c>
      <c r="M444" s="580">
        <f t="shared" si="315"/>
        <v>0</v>
      </c>
      <c r="N444" s="409" t="e">
        <f t="shared" si="316"/>
        <v>#DIV/0!</v>
      </c>
      <c r="O444" s="427">
        <v>0</v>
      </c>
    </row>
    <row r="445" spans="1:15" s="686" customFormat="1" ht="16.2" hidden="1" thickBot="1" x14ac:dyDescent="0.35">
      <c r="A445" s="432" t="s">
        <v>580</v>
      </c>
      <c r="B445" s="490"/>
      <c r="C445" s="411">
        <v>4214</v>
      </c>
      <c r="D445" s="412" t="s">
        <v>119</v>
      </c>
      <c r="E445" s="413">
        <v>760000</v>
      </c>
      <c r="F445" s="413">
        <v>500000</v>
      </c>
      <c r="G445" s="413">
        <f>F445/7.5345</f>
        <v>66361.404207313026</v>
      </c>
      <c r="H445" s="413">
        <v>0</v>
      </c>
      <c r="I445" s="582">
        <f>H445*7.5345</f>
        <v>0</v>
      </c>
      <c r="J445" s="413">
        <v>0</v>
      </c>
      <c r="K445" s="582">
        <f>J445*7.5345</f>
        <v>0</v>
      </c>
      <c r="L445" s="413">
        <v>0</v>
      </c>
      <c r="M445" s="582">
        <f>L445*7.5345</f>
        <v>0</v>
      </c>
      <c r="N445" s="479" t="e">
        <f t="shared" si="316"/>
        <v>#DIV/0!</v>
      </c>
      <c r="O445" s="480">
        <v>0</v>
      </c>
    </row>
    <row r="446" spans="1:15" s="29" customFormat="1" ht="27.6" x14ac:dyDescent="0.25">
      <c r="A446" s="426"/>
      <c r="B446" s="493"/>
      <c r="C446" s="42"/>
      <c r="D446" s="421" t="s">
        <v>406</v>
      </c>
      <c r="E446" s="397"/>
      <c r="F446" s="396"/>
      <c r="G446" s="396"/>
      <c r="H446" s="396"/>
      <c r="I446" s="577"/>
      <c r="J446" s="396"/>
      <c r="K446" s="577"/>
      <c r="L446" s="396"/>
      <c r="M446" s="577"/>
      <c r="N446" s="942">
        <f>AVERAGE(J448/H448*100)</f>
        <v>250</v>
      </c>
      <c r="O446" s="944">
        <f>AVERAGE(L448/J448*100)</f>
        <v>40</v>
      </c>
    </row>
    <row r="447" spans="1:15" ht="13.8" x14ac:dyDescent="0.25">
      <c r="A447" s="426"/>
      <c r="B447" s="493"/>
      <c r="C447" s="42"/>
      <c r="D447" s="421" t="s">
        <v>688</v>
      </c>
      <c r="E447" s="387"/>
      <c r="F447" s="396"/>
      <c r="G447" s="396"/>
      <c r="H447" s="396"/>
      <c r="I447" s="577"/>
      <c r="J447" s="396"/>
      <c r="K447" s="577"/>
      <c r="L447" s="396"/>
      <c r="M447" s="577"/>
      <c r="N447" s="943"/>
      <c r="O447" s="945"/>
    </row>
    <row r="448" spans="1:15" ht="15.6" x14ac:dyDescent="0.3">
      <c r="A448" s="458"/>
      <c r="B448" s="494"/>
      <c r="C448" s="117"/>
      <c r="D448" s="464" t="s">
        <v>653</v>
      </c>
      <c r="E448" s="459">
        <v>256000</v>
      </c>
      <c r="F448" s="457">
        <f t="shared" ref="F448:M450" si="317">SUM(F449)</f>
        <v>150000</v>
      </c>
      <c r="G448" s="457">
        <f t="shared" si="317"/>
        <v>19908.421262193908</v>
      </c>
      <c r="H448" s="457">
        <f t="shared" si="317"/>
        <v>20000</v>
      </c>
      <c r="I448" s="457">
        <f t="shared" si="317"/>
        <v>150690</v>
      </c>
      <c r="J448" s="457">
        <f t="shared" si="317"/>
        <v>50000</v>
      </c>
      <c r="K448" s="457">
        <f t="shared" si="317"/>
        <v>376725</v>
      </c>
      <c r="L448" s="457">
        <f t="shared" si="317"/>
        <v>20000</v>
      </c>
      <c r="M448" s="578">
        <f t="shared" si="317"/>
        <v>150690</v>
      </c>
      <c r="N448" s="943"/>
      <c r="O448" s="945"/>
    </row>
    <row r="449" spans="1:15" s="29" customFormat="1" ht="13.8" x14ac:dyDescent="0.25">
      <c r="A449" s="382" t="s">
        <v>581</v>
      </c>
      <c r="B449" s="489"/>
      <c r="C449" s="378">
        <v>42</v>
      </c>
      <c r="D449" s="389" t="s">
        <v>250</v>
      </c>
      <c r="E449" s="386">
        <v>256000</v>
      </c>
      <c r="F449" s="386">
        <f t="shared" si="317"/>
        <v>150000</v>
      </c>
      <c r="G449" s="386">
        <f t="shared" si="317"/>
        <v>19908.421262193908</v>
      </c>
      <c r="H449" s="386">
        <f t="shared" si="317"/>
        <v>20000</v>
      </c>
      <c r="I449" s="386">
        <f t="shared" si="317"/>
        <v>150690</v>
      </c>
      <c r="J449" s="386">
        <f t="shared" si="317"/>
        <v>50000</v>
      </c>
      <c r="K449" s="386">
        <f t="shared" si="317"/>
        <v>376725</v>
      </c>
      <c r="L449" s="386">
        <f t="shared" si="317"/>
        <v>20000</v>
      </c>
      <c r="M449" s="581">
        <f t="shared" si="317"/>
        <v>150690</v>
      </c>
      <c r="N449" s="409">
        <f t="shared" ref="N449:N451" si="318">AVERAGE(J449/H449*100)</f>
        <v>250</v>
      </c>
      <c r="O449" s="427">
        <f>AVERAGE(L449/J449*100)</f>
        <v>40</v>
      </c>
    </row>
    <row r="450" spans="1:15" ht="14.4" thickBot="1" x14ac:dyDescent="0.3">
      <c r="A450" s="379" t="s">
        <v>581</v>
      </c>
      <c r="B450" s="488"/>
      <c r="C450" s="391">
        <v>421</v>
      </c>
      <c r="D450" s="392" t="s">
        <v>97</v>
      </c>
      <c r="E450" s="387">
        <v>256000</v>
      </c>
      <c r="F450" s="387">
        <f t="shared" si="317"/>
        <v>150000</v>
      </c>
      <c r="G450" s="387">
        <f t="shared" si="317"/>
        <v>19908.421262193908</v>
      </c>
      <c r="H450" s="387">
        <f t="shared" si="317"/>
        <v>20000</v>
      </c>
      <c r="I450" s="387">
        <f t="shared" si="317"/>
        <v>150690</v>
      </c>
      <c r="J450" s="387">
        <f t="shared" si="317"/>
        <v>50000</v>
      </c>
      <c r="K450" s="387">
        <f t="shared" si="317"/>
        <v>376725</v>
      </c>
      <c r="L450" s="387">
        <f t="shared" si="317"/>
        <v>20000</v>
      </c>
      <c r="M450" s="580">
        <f t="shared" si="317"/>
        <v>150690</v>
      </c>
      <c r="N450" s="409">
        <f t="shared" si="318"/>
        <v>250</v>
      </c>
      <c r="O450" s="427">
        <f t="shared" ref="O450:O451" si="319">AVERAGE(L450/J450*100)</f>
        <v>40</v>
      </c>
    </row>
    <row r="451" spans="1:15" ht="14.4" hidden="1" thickBot="1" x14ac:dyDescent="0.3">
      <c r="A451" s="432" t="s">
        <v>581</v>
      </c>
      <c r="B451" s="490"/>
      <c r="C451" s="411">
        <v>4214</v>
      </c>
      <c r="D451" s="412" t="s">
        <v>251</v>
      </c>
      <c r="E451" s="413">
        <v>256000</v>
      </c>
      <c r="F451" s="413">
        <v>150000</v>
      </c>
      <c r="G451" s="413">
        <f>F451/7.5345</f>
        <v>19908.421262193908</v>
      </c>
      <c r="H451" s="413">
        <v>20000</v>
      </c>
      <c r="I451" s="582">
        <f>H451*7.5345</f>
        <v>150690</v>
      </c>
      <c r="J451" s="413">
        <v>50000</v>
      </c>
      <c r="K451" s="582">
        <f>J451*7.5345</f>
        <v>376725</v>
      </c>
      <c r="L451" s="413">
        <v>20000</v>
      </c>
      <c r="M451" s="582">
        <f>L451*7.5345</f>
        <v>150690</v>
      </c>
      <c r="N451" s="479">
        <f t="shared" si="318"/>
        <v>250</v>
      </c>
      <c r="O451" s="480">
        <f t="shared" si="319"/>
        <v>40</v>
      </c>
    </row>
    <row r="452" spans="1:15" ht="27.6" x14ac:dyDescent="0.25">
      <c r="A452" s="426"/>
      <c r="B452" s="493"/>
      <c r="C452" s="42"/>
      <c r="D452" s="421" t="s">
        <v>406</v>
      </c>
      <c r="E452" s="397"/>
      <c r="F452" s="396"/>
      <c r="G452" s="396"/>
      <c r="H452" s="396"/>
      <c r="I452" s="577"/>
      <c r="J452" s="396"/>
      <c r="K452" s="577"/>
      <c r="L452" s="396"/>
      <c r="M452" s="577"/>
      <c r="N452" s="942">
        <f>AVERAGE(J454/H454*100)</f>
        <v>0</v>
      </c>
      <c r="O452" s="944" t="e">
        <f>AVERAGE(L454/J454*100)</f>
        <v>#DIV/0!</v>
      </c>
    </row>
    <row r="453" spans="1:15" ht="13.8" x14ac:dyDescent="0.25">
      <c r="A453" s="426"/>
      <c r="B453" s="493"/>
      <c r="C453" s="42"/>
      <c r="D453" s="421" t="s">
        <v>689</v>
      </c>
      <c r="E453" s="387"/>
      <c r="F453" s="396"/>
      <c r="G453" s="396"/>
      <c r="H453" s="396"/>
      <c r="I453" s="577"/>
      <c r="J453" s="396"/>
      <c r="K453" s="577"/>
      <c r="L453" s="396"/>
      <c r="M453" s="577"/>
      <c r="N453" s="943"/>
      <c r="O453" s="945"/>
    </row>
    <row r="454" spans="1:15" s="117" customFormat="1" ht="31.2" x14ac:dyDescent="0.3">
      <c r="A454" s="458"/>
      <c r="B454" s="494"/>
      <c r="D454" s="464" t="s">
        <v>660</v>
      </c>
      <c r="E454" s="459">
        <v>256000</v>
      </c>
      <c r="F454" s="457">
        <f t="shared" ref="F454:M456" si="320">SUM(F455)</f>
        <v>150000</v>
      </c>
      <c r="G454" s="457">
        <f t="shared" si="320"/>
        <v>19908.421262193908</v>
      </c>
      <c r="H454" s="457">
        <f t="shared" si="320"/>
        <v>30000</v>
      </c>
      <c r="I454" s="457">
        <f t="shared" si="320"/>
        <v>226035</v>
      </c>
      <c r="J454" s="457">
        <f t="shared" si="320"/>
        <v>0</v>
      </c>
      <c r="K454" s="457">
        <f t="shared" si="320"/>
        <v>0</v>
      </c>
      <c r="L454" s="457">
        <f t="shared" si="320"/>
        <v>0</v>
      </c>
      <c r="M454" s="578">
        <f t="shared" si="320"/>
        <v>0</v>
      </c>
      <c r="N454" s="943"/>
      <c r="O454" s="945"/>
    </row>
    <row r="455" spans="1:15" s="29" customFormat="1" ht="13.8" x14ac:dyDescent="0.25">
      <c r="A455" s="382" t="s">
        <v>581</v>
      </c>
      <c r="B455" s="489"/>
      <c r="C455" s="378">
        <v>42</v>
      </c>
      <c r="D455" s="389" t="s">
        <v>250</v>
      </c>
      <c r="E455" s="386">
        <v>256000</v>
      </c>
      <c r="F455" s="386">
        <f t="shared" si="320"/>
        <v>150000</v>
      </c>
      <c r="G455" s="386">
        <f t="shared" si="320"/>
        <v>19908.421262193908</v>
      </c>
      <c r="H455" s="386">
        <f t="shared" si="320"/>
        <v>30000</v>
      </c>
      <c r="I455" s="386">
        <f t="shared" si="320"/>
        <v>226035</v>
      </c>
      <c r="J455" s="386">
        <f t="shared" si="320"/>
        <v>0</v>
      </c>
      <c r="K455" s="386">
        <f t="shared" si="320"/>
        <v>0</v>
      </c>
      <c r="L455" s="386">
        <f t="shared" si="320"/>
        <v>0</v>
      </c>
      <c r="M455" s="581">
        <f t="shared" si="320"/>
        <v>0</v>
      </c>
      <c r="N455" s="409">
        <f t="shared" ref="N455:N457" si="321">AVERAGE(J455/H455*100)</f>
        <v>0</v>
      </c>
      <c r="O455" s="427" t="e">
        <f>AVERAGE(L455/J455*100)</f>
        <v>#DIV/0!</v>
      </c>
    </row>
    <row r="456" spans="1:15" ht="14.4" thickBot="1" x14ac:dyDescent="0.3">
      <c r="A456" s="379" t="s">
        <v>581</v>
      </c>
      <c r="B456" s="488"/>
      <c r="C456" s="391">
        <v>421</v>
      </c>
      <c r="D456" s="392" t="s">
        <v>97</v>
      </c>
      <c r="E456" s="387">
        <v>256000</v>
      </c>
      <c r="F456" s="387">
        <f t="shared" si="320"/>
        <v>150000</v>
      </c>
      <c r="G456" s="387">
        <f t="shared" si="320"/>
        <v>19908.421262193908</v>
      </c>
      <c r="H456" s="387">
        <f t="shared" si="320"/>
        <v>30000</v>
      </c>
      <c r="I456" s="387">
        <f t="shared" si="320"/>
        <v>226035</v>
      </c>
      <c r="J456" s="387">
        <f t="shared" si="320"/>
        <v>0</v>
      </c>
      <c r="K456" s="387">
        <f t="shared" si="320"/>
        <v>0</v>
      </c>
      <c r="L456" s="387">
        <f t="shared" si="320"/>
        <v>0</v>
      </c>
      <c r="M456" s="580">
        <f t="shared" si="320"/>
        <v>0</v>
      </c>
      <c r="N456" s="409">
        <f t="shared" si="321"/>
        <v>0</v>
      </c>
      <c r="O456" s="427" t="e">
        <f t="shared" ref="O456:O457" si="322">AVERAGE(L456/J456*100)</f>
        <v>#DIV/0!</v>
      </c>
    </row>
    <row r="457" spans="1:15" s="231" customFormat="1" ht="14.4" hidden="1" thickBot="1" x14ac:dyDescent="0.3">
      <c r="A457" s="432" t="s">
        <v>581</v>
      </c>
      <c r="B457" s="490"/>
      <c r="C457" s="411">
        <v>4214</v>
      </c>
      <c r="D457" s="412" t="s">
        <v>251</v>
      </c>
      <c r="E457" s="413">
        <v>256000</v>
      </c>
      <c r="F457" s="413">
        <v>150000</v>
      </c>
      <c r="G457" s="413">
        <f>F457/7.5345</f>
        <v>19908.421262193908</v>
      </c>
      <c r="H457" s="413">
        <v>30000</v>
      </c>
      <c r="I457" s="582">
        <f>H457*7.5345</f>
        <v>226035</v>
      </c>
      <c r="J457" s="413">
        <v>0</v>
      </c>
      <c r="K457" s="582">
        <f>J457*7.5345</f>
        <v>0</v>
      </c>
      <c r="L457" s="413">
        <v>0</v>
      </c>
      <c r="M457" s="582">
        <f>L457*7.5345</f>
        <v>0</v>
      </c>
      <c r="N457" s="479">
        <f t="shared" si="321"/>
        <v>0</v>
      </c>
      <c r="O457" s="480" t="e">
        <f t="shared" si="322"/>
        <v>#DIV/0!</v>
      </c>
    </row>
    <row r="458" spans="1:15" s="136" customFormat="1" ht="13.8" x14ac:dyDescent="0.25">
      <c r="A458" s="426"/>
      <c r="B458" s="493"/>
      <c r="C458" s="42"/>
      <c r="D458" s="421" t="s">
        <v>407</v>
      </c>
      <c r="E458" s="397"/>
      <c r="F458" s="396"/>
      <c r="G458" s="396"/>
      <c r="H458" s="396"/>
      <c r="I458" s="577"/>
      <c r="J458" s="396"/>
      <c r="K458" s="577"/>
      <c r="L458" s="396"/>
      <c r="M458" s="577"/>
      <c r="N458" s="942">
        <f>AVERAGE(J460/H460*100)</f>
        <v>87.5</v>
      </c>
      <c r="O458" s="944">
        <f>AVERAGE(L460/J460*100)</f>
        <v>100</v>
      </c>
    </row>
    <row r="459" spans="1:15" s="687" customFormat="1" ht="14.4" thickBot="1" x14ac:dyDescent="0.3">
      <c r="A459" s="426"/>
      <c r="B459" s="493"/>
      <c r="C459" s="42"/>
      <c r="D459" s="421" t="s">
        <v>677</v>
      </c>
      <c r="E459" s="387"/>
      <c r="F459" s="396"/>
      <c r="G459" s="396"/>
      <c r="H459" s="396"/>
      <c r="I459" s="577"/>
      <c r="J459" s="396"/>
      <c r="K459" s="577"/>
      <c r="L459" s="396"/>
      <c r="M459" s="577"/>
      <c r="N459" s="943"/>
      <c r="O459" s="945"/>
    </row>
    <row r="460" spans="1:15" ht="16.2" thickTop="1" x14ac:dyDescent="0.3">
      <c r="A460" s="458"/>
      <c r="B460" s="494"/>
      <c r="C460" s="117"/>
      <c r="D460" s="464" t="s">
        <v>661</v>
      </c>
      <c r="E460" s="459">
        <v>249000</v>
      </c>
      <c r="F460" s="457" t="e">
        <f t="shared" ref="F460:M461" si="323">SUM(F461)</f>
        <v>#REF!</v>
      </c>
      <c r="G460" s="457" t="e">
        <f t="shared" si="323"/>
        <v>#REF!</v>
      </c>
      <c r="H460" s="457">
        <f>SUM(H461)</f>
        <v>40000</v>
      </c>
      <c r="I460" s="457">
        <f t="shared" ref="I460:L460" si="324">SUM(I461)</f>
        <v>188362.5</v>
      </c>
      <c r="J460" s="457">
        <f t="shared" si="324"/>
        <v>35000</v>
      </c>
      <c r="K460" s="457">
        <f t="shared" si="324"/>
        <v>150690</v>
      </c>
      <c r="L460" s="457">
        <f t="shared" si="324"/>
        <v>35000</v>
      </c>
      <c r="M460" s="578" t="e">
        <f t="shared" si="323"/>
        <v>#REF!</v>
      </c>
      <c r="N460" s="943"/>
      <c r="O460" s="945"/>
    </row>
    <row r="461" spans="1:15" ht="13.8" x14ac:dyDescent="0.25">
      <c r="A461" s="382" t="s">
        <v>582</v>
      </c>
      <c r="B461" s="489"/>
      <c r="C461" s="378">
        <v>42</v>
      </c>
      <c r="D461" s="389" t="s">
        <v>250</v>
      </c>
      <c r="E461" s="386">
        <v>249000</v>
      </c>
      <c r="F461" s="386" t="e">
        <f t="shared" si="323"/>
        <v>#REF!</v>
      </c>
      <c r="G461" s="386" t="e">
        <f t="shared" si="323"/>
        <v>#REF!</v>
      </c>
      <c r="H461" s="386">
        <f t="shared" si="323"/>
        <v>40000</v>
      </c>
      <c r="I461" s="386">
        <f t="shared" si="323"/>
        <v>188362.5</v>
      </c>
      <c r="J461" s="386">
        <f t="shared" si="323"/>
        <v>35000</v>
      </c>
      <c r="K461" s="386">
        <f t="shared" si="323"/>
        <v>150690</v>
      </c>
      <c r="L461" s="386">
        <f t="shared" si="323"/>
        <v>35000</v>
      </c>
      <c r="M461" s="581" t="e">
        <f t="shared" si="323"/>
        <v>#REF!</v>
      </c>
      <c r="N461" s="409">
        <f t="shared" ref="N461:N463" si="325">AVERAGE(J461/H461*100)</f>
        <v>87.5</v>
      </c>
      <c r="O461" s="427">
        <f>AVERAGE(L461/J461*100)</f>
        <v>100</v>
      </c>
    </row>
    <row r="462" spans="1:15" ht="14.4" thickBot="1" x14ac:dyDescent="0.3">
      <c r="A462" s="379" t="s">
        <v>582</v>
      </c>
      <c r="B462" s="488"/>
      <c r="C462" s="391">
        <v>421</v>
      </c>
      <c r="D462" s="392" t="s">
        <v>97</v>
      </c>
      <c r="E462" s="387">
        <v>249000</v>
      </c>
      <c r="F462" s="387" t="e">
        <f>SUM(F463+#REF!+F464)</f>
        <v>#REF!</v>
      </c>
      <c r="G462" s="387" t="e">
        <f>SUM(G463+#REF!+G464)</f>
        <v>#REF!</v>
      </c>
      <c r="H462" s="387">
        <f>SUM(H463+H464)</f>
        <v>40000</v>
      </c>
      <c r="I462" s="387">
        <f t="shared" ref="I462:L462" si="326">SUM(I463+I464)</f>
        <v>188362.5</v>
      </c>
      <c r="J462" s="387">
        <f t="shared" si="326"/>
        <v>35000</v>
      </c>
      <c r="K462" s="387">
        <f t="shared" si="326"/>
        <v>150690</v>
      </c>
      <c r="L462" s="387">
        <f t="shared" si="326"/>
        <v>35000</v>
      </c>
      <c r="M462" s="580" t="e">
        <f>SUM(M463+#REF!+M464)</f>
        <v>#REF!</v>
      </c>
      <c r="N462" s="409">
        <f t="shared" si="325"/>
        <v>87.5</v>
      </c>
      <c r="O462" s="427">
        <f t="shared" ref="O462:O463" si="327">AVERAGE(L462/J462*100)</f>
        <v>100</v>
      </c>
    </row>
    <row r="463" spans="1:15" s="117" customFormat="1" ht="16.2" hidden="1" thickBot="1" x14ac:dyDescent="0.35">
      <c r="A463" s="432" t="s">
        <v>582</v>
      </c>
      <c r="B463" s="490"/>
      <c r="C463" s="411">
        <v>4214</v>
      </c>
      <c r="D463" s="412" t="s">
        <v>251</v>
      </c>
      <c r="E463" s="413">
        <v>249000</v>
      </c>
      <c r="F463" s="413">
        <v>50000</v>
      </c>
      <c r="G463" s="413">
        <f>F463/7.5345</f>
        <v>6636.1404207313026</v>
      </c>
      <c r="H463" s="413">
        <v>25000</v>
      </c>
      <c r="I463" s="582">
        <f>H463*7.5345</f>
        <v>188362.5</v>
      </c>
      <c r="J463" s="413">
        <v>20000</v>
      </c>
      <c r="K463" s="582">
        <f>J463*7.5345</f>
        <v>150690</v>
      </c>
      <c r="L463" s="413">
        <v>20000</v>
      </c>
      <c r="M463" s="582">
        <f>L463*7.5345</f>
        <v>150690</v>
      </c>
      <c r="N463" s="479">
        <f t="shared" si="325"/>
        <v>80</v>
      </c>
      <c r="O463" s="480">
        <f t="shared" si="327"/>
        <v>100</v>
      </c>
    </row>
    <row r="464" spans="1:15" s="29" customFormat="1" ht="15" hidden="1" thickTop="1" thickBot="1" x14ac:dyDescent="0.3">
      <c r="A464" s="466" t="s">
        <v>464</v>
      </c>
      <c r="B464" s="496"/>
      <c r="C464" s="467">
        <v>4214</v>
      </c>
      <c r="D464" s="468" t="s">
        <v>251</v>
      </c>
      <c r="E464" s="469">
        <v>249000</v>
      </c>
      <c r="F464" s="469">
        <v>0</v>
      </c>
      <c r="G464" s="469">
        <v>0</v>
      </c>
      <c r="H464" s="469">
        <v>15000</v>
      </c>
      <c r="I464" s="584">
        <v>0</v>
      </c>
      <c r="J464" s="469">
        <v>15000</v>
      </c>
      <c r="K464" s="584">
        <v>0</v>
      </c>
      <c r="L464" s="469">
        <v>15000</v>
      </c>
      <c r="M464" s="584">
        <v>0</v>
      </c>
      <c r="N464" s="479" t="e">
        <f>AVERAGE(J464/F464*100)</f>
        <v>#DIV/0!</v>
      </c>
      <c r="O464" s="480">
        <f>AVERAGE(M464/J464*100)</f>
        <v>0</v>
      </c>
    </row>
    <row r="465" spans="1:15" ht="27.6" x14ac:dyDescent="0.25">
      <c r="A465" s="426"/>
      <c r="B465" s="493"/>
      <c r="C465" s="42"/>
      <c r="D465" s="421" t="s">
        <v>406</v>
      </c>
      <c r="E465" s="397"/>
      <c r="F465" s="396"/>
      <c r="G465" s="396"/>
      <c r="H465" s="396"/>
      <c r="I465" s="577"/>
      <c r="J465" s="396"/>
      <c r="K465" s="577"/>
      <c r="L465" s="396"/>
      <c r="M465" s="577"/>
      <c r="N465" s="942">
        <f>AVERAGE(J467/H467*100)</f>
        <v>0</v>
      </c>
      <c r="O465" s="944" t="e">
        <f>AVERAGE(L467/J467*100)</f>
        <v>#DIV/0!</v>
      </c>
    </row>
    <row r="466" spans="1:15" ht="13.8" x14ac:dyDescent="0.25">
      <c r="A466" s="426"/>
      <c r="B466" s="493"/>
      <c r="C466" s="42"/>
      <c r="D466" s="421" t="s">
        <v>677</v>
      </c>
      <c r="E466" s="387"/>
      <c r="F466" s="396"/>
      <c r="G466" s="396"/>
      <c r="H466" s="396"/>
      <c r="I466" s="577"/>
      <c r="J466" s="396"/>
      <c r="K466" s="577"/>
      <c r="L466" s="396"/>
      <c r="M466" s="577"/>
      <c r="N466" s="943"/>
      <c r="O466" s="945"/>
    </row>
    <row r="467" spans="1:15" ht="31.2" x14ac:dyDescent="0.3">
      <c r="A467" s="458"/>
      <c r="B467" s="494"/>
      <c r="C467" s="117"/>
      <c r="D467" s="464" t="s">
        <v>662</v>
      </c>
      <c r="E467" s="459">
        <v>160000</v>
      </c>
      <c r="F467" s="457" t="e">
        <f>SUM(F468+#REF!)</f>
        <v>#REF!</v>
      </c>
      <c r="G467" s="457" t="e">
        <f>SUM(G468+#REF!)</f>
        <v>#REF!</v>
      </c>
      <c r="H467" s="457">
        <f>SUM(H468)</f>
        <v>46500</v>
      </c>
      <c r="I467" s="457">
        <f t="shared" ref="I467:L467" si="328">SUM(I468)</f>
        <v>241104</v>
      </c>
      <c r="J467" s="457">
        <f t="shared" si="328"/>
        <v>0</v>
      </c>
      <c r="K467" s="457">
        <f t="shared" si="328"/>
        <v>0</v>
      </c>
      <c r="L467" s="457">
        <f t="shared" si="328"/>
        <v>0</v>
      </c>
      <c r="M467" s="578" t="e">
        <f>SUM(M468+#REF!)</f>
        <v>#REF!</v>
      </c>
      <c r="N467" s="943"/>
      <c r="O467" s="945"/>
    </row>
    <row r="468" spans="1:15" s="231" customFormat="1" ht="13.8" x14ac:dyDescent="0.25">
      <c r="A468" s="382" t="s">
        <v>583</v>
      </c>
      <c r="B468" s="489"/>
      <c r="C468" s="378">
        <v>45</v>
      </c>
      <c r="D468" s="389" t="s">
        <v>482</v>
      </c>
      <c r="E468" s="386">
        <v>247000</v>
      </c>
      <c r="F468" s="386">
        <f t="shared" ref="F468:M468" si="329">SUM(F469)</f>
        <v>30000</v>
      </c>
      <c r="G468" s="386">
        <f t="shared" si="329"/>
        <v>3981.6842524387812</v>
      </c>
      <c r="H468" s="386">
        <f t="shared" si="329"/>
        <v>46500</v>
      </c>
      <c r="I468" s="386">
        <f t="shared" si="329"/>
        <v>241104</v>
      </c>
      <c r="J468" s="386">
        <f t="shared" si="329"/>
        <v>0</v>
      </c>
      <c r="K468" s="386">
        <f t="shared" si="329"/>
        <v>0</v>
      </c>
      <c r="L468" s="386">
        <f t="shared" si="329"/>
        <v>0</v>
      </c>
      <c r="M468" s="581">
        <f t="shared" si="329"/>
        <v>0</v>
      </c>
      <c r="N468" s="409">
        <f t="shared" ref="N468:N470" si="330">AVERAGE(J468/H468*100)</f>
        <v>0</v>
      </c>
      <c r="O468" s="427" t="e">
        <f>AVERAGE(L468/J468*100)</f>
        <v>#DIV/0!</v>
      </c>
    </row>
    <row r="469" spans="1:15" s="136" customFormat="1" ht="14.4" thickBot="1" x14ac:dyDescent="0.3">
      <c r="A469" s="379" t="s">
        <v>583</v>
      </c>
      <c r="B469" s="488"/>
      <c r="C469" s="391">
        <v>454</v>
      </c>
      <c r="D469" s="392" t="s">
        <v>600</v>
      </c>
      <c r="E469" s="387">
        <v>30000</v>
      </c>
      <c r="F469" s="387">
        <f t="shared" ref="F469:M469" si="331">SUM(F470)</f>
        <v>30000</v>
      </c>
      <c r="G469" s="387">
        <f t="shared" si="331"/>
        <v>3981.6842524387812</v>
      </c>
      <c r="H469" s="387">
        <f>SUM(H470+H471)</f>
        <v>46500</v>
      </c>
      <c r="I469" s="387">
        <f t="shared" si="331"/>
        <v>241104</v>
      </c>
      <c r="J469" s="387">
        <f t="shared" si="331"/>
        <v>0</v>
      </c>
      <c r="K469" s="387">
        <f t="shared" si="331"/>
        <v>0</v>
      </c>
      <c r="L469" s="387">
        <f t="shared" si="331"/>
        <v>0</v>
      </c>
      <c r="M469" s="580">
        <f t="shared" si="331"/>
        <v>0</v>
      </c>
      <c r="N469" s="409">
        <f t="shared" si="330"/>
        <v>0</v>
      </c>
      <c r="O469" s="427" t="e">
        <f t="shared" ref="O469:O470" si="332">AVERAGE(L469/J469*100)</f>
        <v>#DIV/0!</v>
      </c>
    </row>
    <row r="470" spans="1:15" s="687" customFormat="1" ht="13.8" hidden="1" customHeight="1" thickBot="1" x14ac:dyDescent="0.3">
      <c r="A470" s="379" t="s">
        <v>583</v>
      </c>
      <c r="B470" s="488"/>
      <c r="C470" s="391">
        <v>4541</v>
      </c>
      <c r="D470" s="392" t="s">
        <v>600</v>
      </c>
      <c r="E470" s="387">
        <v>30000</v>
      </c>
      <c r="F470" s="387">
        <v>30000</v>
      </c>
      <c r="G470" s="387">
        <f>F470/7.5345</f>
        <v>3981.6842524387812</v>
      </c>
      <c r="H470" s="387">
        <v>32000</v>
      </c>
      <c r="I470" s="580">
        <f>H470*7.5345</f>
        <v>241104</v>
      </c>
      <c r="J470" s="387">
        <v>0</v>
      </c>
      <c r="K470" s="580">
        <f>J470*7.5345</f>
        <v>0</v>
      </c>
      <c r="L470" s="387">
        <v>0</v>
      </c>
      <c r="M470" s="580">
        <f>L470*7.5345</f>
        <v>0</v>
      </c>
      <c r="N470" s="409">
        <f t="shared" si="330"/>
        <v>0</v>
      </c>
      <c r="O470" s="427" t="e">
        <f t="shared" si="332"/>
        <v>#DIV/0!</v>
      </c>
    </row>
    <row r="471" spans="1:15" ht="15" hidden="1" thickTop="1" thickBot="1" x14ac:dyDescent="0.3">
      <c r="A471" s="379" t="s">
        <v>583</v>
      </c>
      <c r="B471" s="488"/>
      <c r="C471" s="391">
        <v>4541</v>
      </c>
      <c r="D471" s="392" t="s">
        <v>600</v>
      </c>
      <c r="E471" s="387">
        <v>30000</v>
      </c>
      <c r="F471" s="387">
        <v>30000</v>
      </c>
      <c r="G471" s="387">
        <f>F471/7.5345</f>
        <v>3981.6842524387812</v>
      </c>
      <c r="H471" s="387">
        <v>14500</v>
      </c>
      <c r="I471" s="580">
        <f>H471*7.5345</f>
        <v>109250.25</v>
      </c>
      <c r="J471" s="387">
        <v>0</v>
      </c>
      <c r="K471" s="580">
        <f>J471*7.5345</f>
        <v>0</v>
      </c>
      <c r="L471" s="387">
        <v>0</v>
      </c>
      <c r="M471" s="580">
        <f>L471*7.5345</f>
        <v>0</v>
      </c>
      <c r="N471" s="409">
        <f t="shared" ref="N471" si="333">AVERAGE(J471/H471*100)</f>
        <v>0</v>
      </c>
      <c r="O471" s="427" t="e">
        <f t="shared" ref="O471" si="334">AVERAGE(L471/J471*100)</f>
        <v>#DIV/0!</v>
      </c>
    </row>
    <row r="472" spans="1:15" ht="14.4" thickTop="1" x14ac:dyDescent="0.25">
      <c r="A472" s="426"/>
      <c r="B472" s="493"/>
      <c r="C472" s="42"/>
      <c r="D472" s="421" t="s">
        <v>407</v>
      </c>
      <c r="E472" s="397"/>
      <c r="F472" s="396"/>
      <c r="G472" s="396"/>
      <c r="H472" s="396"/>
      <c r="I472" s="577"/>
      <c r="J472" s="396"/>
      <c r="K472" s="577"/>
      <c r="L472" s="396"/>
      <c r="M472" s="577"/>
      <c r="N472" s="942">
        <f>AVERAGE(J474/H474*100)</f>
        <v>40</v>
      </c>
      <c r="O472" s="990">
        <f>AVERAGE(L474/J474*100)</f>
        <v>100</v>
      </c>
    </row>
    <row r="473" spans="1:15" ht="13.8" x14ac:dyDescent="0.25">
      <c r="A473" s="426"/>
      <c r="B473" s="493"/>
      <c r="C473" s="42"/>
      <c r="D473" s="421" t="s">
        <v>670</v>
      </c>
      <c r="E473" s="387"/>
      <c r="F473" s="396"/>
      <c r="G473" s="396"/>
      <c r="H473" s="396"/>
      <c r="I473" s="577"/>
      <c r="J473" s="396"/>
      <c r="K473" s="577"/>
      <c r="L473" s="396"/>
      <c r="M473" s="577"/>
      <c r="N473" s="943"/>
      <c r="O473" s="974"/>
    </row>
    <row r="474" spans="1:15" s="415" customFormat="1" ht="31.8" thickBot="1" x14ac:dyDescent="0.35">
      <c r="A474" s="458"/>
      <c r="B474" s="494"/>
      <c r="C474" s="117"/>
      <c r="D474" s="679" t="s">
        <v>663</v>
      </c>
      <c r="E474" s="459">
        <v>0</v>
      </c>
      <c r="F474" s="457" t="e">
        <f t="shared" ref="F474:M476" si="335">SUM(F475)</f>
        <v>#REF!</v>
      </c>
      <c r="G474" s="457" t="e">
        <f t="shared" si="335"/>
        <v>#REF!</v>
      </c>
      <c r="H474" s="457">
        <f t="shared" si="335"/>
        <v>100000</v>
      </c>
      <c r="I474" s="457">
        <f t="shared" si="335"/>
        <v>753450</v>
      </c>
      <c r="J474" s="457">
        <f t="shared" si="335"/>
        <v>40000</v>
      </c>
      <c r="K474" s="457">
        <f t="shared" si="335"/>
        <v>301380</v>
      </c>
      <c r="L474" s="457">
        <f t="shared" si="335"/>
        <v>40000</v>
      </c>
      <c r="M474" s="578" t="e">
        <f t="shared" si="335"/>
        <v>#REF!</v>
      </c>
      <c r="N474" s="943"/>
      <c r="O474" s="949"/>
    </row>
    <row r="475" spans="1:15" s="29" customFormat="1" ht="14.4" thickTop="1" x14ac:dyDescent="0.25">
      <c r="A475" s="382" t="s">
        <v>584</v>
      </c>
      <c r="B475" s="489"/>
      <c r="C475" s="378">
        <v>42</v>
      </c>
      <c r="D475" s="389" t="s">
        <v>250</v>
      </c>
      <c r="E475" s="386">
        <v>0</v>
      </c>
      <c r="F475" s="386" t="e">
        <f t="shared" si="335"/>
        <v>#REF!</v>
      </c>
      <c r="G475" s="386" t="e">
        <f t="shared" si="335"/>
        <v>#REF!</v>
      </c>
      <c r="H475" s="386">
        <f t="shared" si="335"/>
        <v>100000</v>
      </c>
      <c r="I475" s="386">
        <f t="shared" si="335"/>
        <v>753450</v>
      </c>
      <c r="J475" s="386">
        <f t="shared" si="335"/>
        <v>40000</v>
      </c>
      <c r="K475" s="386">
        <f t="shared" si="335"/>
        <v>301380</v>
      </c>
      <c r="L475" s="386">
        <f t="shared" si="335"/>
        <v>40000</v>
      </c>
      <c r="M475" s="581" t="e">
        <f t="shared" si="335"/>
        <v>#REF!</v>
      </c>
      <c r="N475" s="409">
        <f t="shared" ref="N475:N477" si="336">AVERAGE(J475/H475*100)</f>
        <v>40</v>
      </c>
      <c r="O475" s="427">
        <f>AVERAGE(L475/J475*100)</f>
        <v>100</v>
      </c>
    </row>
    <row r="476" spans="1:15" ht="13.8" x14ac:dyDescent="0.25">
      <c r="A476" s="379" t="s">
        <v>584</v>
      </c>
      <c r="B476" s="488"/>
      <c r="C476" s="391">
        <v>421</v>
      </c>
      <c r="D476" s="392" t="s">
        <v>97</v>
      </c>
      <c r="E476" s="387">
        <v>0</v>
      </c>
      <c r="F476" s="387" t="e">
        <f>SUM(F477+#REF!)</f>
        <v>#REF!</v>
      </c>
      <c r="G476" s="387" t="e">
        <f>SUM(G477+#REF!)</f>
        <v>#REF!</v>
      </c>
      <c r="H476" s="387">
        <f>SUM(H477)</f>
        <v>100000</v>
      </c>
      <c r="I476" s="387">
        <f t="shared" si="335"/>
        <v>753450</v>
      </c>
      <c r="J476" s="387">
        <f t="shared" si="335"/>
        <v>40000</v>
      </c>
      <c r="K476" s="387">
        <f t="shared" si="335"/>
        <v>301380</v>
      </c>
      <c r="L476" s="387">
        <f t="shared" si="335"/>
        <v>40000</v>
      </c>
      <c r="M476" s="580" t="e">
        <f>SUM(M477+#REF!)</f>
        <v>#REF!</v>
      </c>
      <c r="N476" s="409">
        <f t="shared" si="336"/>
        <v>40</v>
      </c>
      <c r="O476" s="427">
        <f t="shared" ref="O476:O477" si="337">AVERAGE(L476/J476*100)</f>
        <v>100</v>
      </c>
    </row>
    <row r="477" spans="1:15" s="415" customFormat="1" ht="14.4" hidden="1" thickBot="1" x14ac:dyDescent="0.3">
      <c r="A477" s="379" t="s">
        <v>584</v>
      </c>
      <c r="B477" s="490"/>
      <c r="C477" s="411">
        <v>4214</v>
      </c>
      <c r="D477" s="412" t="s">
        <v>251</v>
      </c>
      <c r="E477" s="413">
        <v>0</v>
      </c>
      <c r="F477" s="413">
        <v>300000</v>
      </c>
      <c r="G477" s="413">
        <f>F477/7.5345</f>
        <v>39816.842524387816</v>
      </c>
      <c r="H477" s="413">
        <v>100000</v>
      </c>
      <c r="I477" s="582">
        <f>H477*7.5345</f>
        <v>753450</v>
      </c>
      <c r="J477" s="413">
        <v>40000</v>
      </c>
      <c r="K477" s="582">
        <f>J477*7.5345</f>
        <v>301380</v>
      </c>
      <c r="L477" s="413">
        <v>40000</v>
      </c>
      <c r="M477" s="582">
        <f>L477*7.5345</f>
        <v>301380</v>
      </c>
      <c r="N477" s="479">
        <f t="shared" si="336"/>
        <v>40</v>
      </c>
      <c r="O477" s="480">
        <f t="shared" si="337"/>
        <v>100</v>
      </c>
    </row>
    <row r="478" spans="1:15" ht="13.8" x14ac:dyDescent="0.25">
      <c r="A478" s="993"/>
      <c r="B478" s="994"/>
      <c r="C478" s="995"/>
      <c r="D478" s="421" t="s">
        <v>407</v>
      </c>
      <c r="E478" s="397"/>
      <c r="F478" s="396"/>
      <c r="G478" s="396"/>
      <c r="H478" s="396"/>
      <c r="I478" s="577"/>
      <c r="J478" s="396"/>
      <c r="K478" s="577"/>
      <c r="L478" s="396"/>
      <c r="M478" s="577"/>
      <c r="N478" s="942">
        <v>0</v>
      </c>
      <c r="O478" s="974">
        <v>0</v>
      </c>
    </row>
    <row r="479" spans="1:15" ht="13.8" x14ac:dyDescent="0.25">
      <c r="A479" s="993"/>
      <c r="B479" s="994"/>
      <c r="C479" s="995"/>
      <c r="D479" s="421" t="s">
        <v>195</v>
      </c>
      <c r="E479" s="387"/>
      <c r="F479" s="396"/>
      <c r="G479" s="396"/>
      <c r="H479" s="396"/>
      <c r="I479" s="577"/>
      <c r="J479" s="396"/>
      <c r="K479" s="577"/>
      <c r="L479" s="396"/>
      <c r="M479" s="577"/>
      <c r="N479" s="943"/>
      <c r="O479" s="974"/>
    </row>
    <row r="480" spans="1:15" s="29" customFormat="1" ht="31.2" x14ac:dyDescent="0.3">
      <c r="A480" s="996"/>
      <c r="B480" s="997"/>
      <c r="C480" s="998"/>
      <c r="D480" s="464" t="s">
        <v>664</v>
      </c>
      <c r="E480" s="459">
        <v>100000</v>
      </c>
      <c r="F480" s="457">
        <f t="shared" ref="F480:M481" si="338">SUM(F481)</f>
        <v>0</v>
      </c>
      <c r="G480" s="457">
        <f t="shared" si="338"/>
        <v>0</v>
      </c>
      <c r="H480" s="457">
        <f t="shared" si="338"/>
        <v>0</v>
      </c>
      <c r="I480" s="457">
        <f t="shared" si="338"/>
        <v>0</v>
      </c>
      <c r="J480" s="457">
        <f t="shared" si="338"/>
        <v>70000</v>
      </c>
      <c r="K480" s="457">
        <f t="shared" si="338"/>
        <v>527415</v>
      </c>
      <c r="L480" s="457">
        <f t="shared" si="338"/>
        <v>0</v>
      </c>
      <c r="M480" s="578">
        <f t="shared" si="338"/>
        <v>0</v>
      </c>
      <c r="N480" s="943"/>
      <c r="O480" s="949"/>
    </row>
    <row r="481" spans="1:15" ht="13.8" x14ac:dyDescent="0.25">
      <c r="A481" s="382" t="s">
        <v>585</v>
      </c>
      <c r="B481" s="489"/>
      <c r="C481" s="378">
        <v>42</v>
      </c>
      <c r="D481" s="389" t="s">
        <v>250</v>
      </c>
      <c r="E481" s="386">
        <v>100000</v>
      </c>
      <c r="F481" s="386">
        <f t="shared" si="338"/>
        <v>0</v>
      </c>
      <c r="G481" s="386">
        <f t="shared" si="338"/>
        <v>0</v>
      </c>
      <c r="H481" s="386">
        <f t="shared" si="338"/>
        <v>0</v>
      </c>
      <c r="I481" s="386">
        <f t="shared" si="338"/>
        <v>0</v>
      </c>
      <c r="J481" s="386">
        <f t="shared" si="338"/>
        <v>70000</v>
      </c>
      <c r="K481" s="386">
        <f t="shared" si="338"/>
        <v>527415</v>
      </c>
      <c r="L481" s="386">
        <f t="shared" si="338"/>
        <v>0</v>
      </c>
      <c r="M481" s="581">
        <f t="shared" si="338"/>
        <v>0</v>
      </c>
      <c r="N481" s="409">
        <v>0</v>
      </c>
      <c r="O481" s="427">
        <v>0</v>
      </c>
    </row>
    <row r="482" spans="1:15" ht="14.4" thickBot="1" x14ac:dyDescent="0.3">
      <c r="A482" s="382" t="s">
        <v>585</v>
      </c>
      <c r="B482" s="488"/>
      <c r="C482" s="391">
        <v>421</v>
      </c>
      <c r="D482" s="392" t="s">
        <v>97</v>
      </c>
      <c r="E482" s="387">
        <v>100000</v>
      </c>
      <c r="F482" s="387">
        <f t="shared" ref="F482:M482" si="339">SUM(F483:F483)</f>
        <v>0</v>
      </c>
      <c r="G482" s="387">
        <f t="shared" si="339"/>
        <v>0</v>
      </c>
      <c r="H482" s="387">
        <f t="shared" si="339"/>
        <v>0</v>
      </c>
      <c r="I482" s="387">
        <f t="shared" si="339"/>
        <v>0</v>
      </c>
      <c r="J482" s="387">
        <f t="shared" si="339"/>
        <v>70000</v>
      </c>
      <c r="K482" s="387">
        <f t="shared" si="339"/>
        <v>527415</v>
      </c>
      <c r="L482" s="387">
        <f t="shared" si="339"/>
        <v>0</v>
      </c>
      <c r="M482" s="580">
        <f t="shared" si="339"/>
        <v>0</v>
      </c>
      <c r="N482" s="409">
        <v>0</v>
      </c>
      <c r="O482" s="427">
        <v>0</v>
      </c>
    </row>
    <row r="483" spans="1:15" ht="14.4" hidden="1" thickBot="1" x14ac:dyDescent="0.3">
      <c r="A483" s="382" t="s">
        <v>585</v>
      </c>
      <c r="B483" s="496"/>
      <c r="C483" s="411">
        <v>4214</v>
      </c>
      <c r="D483" s="412" t="s">
        <v>251</v>
      </c>
      <c r="E483" s="469">
        <v>100000</v>
      </c>
      <c r="F483" s="469">
        <v>0</v>
      </c>
      <c r="G483" s="413">
        <f t="shared" ref="G483:H483" si="340">F483/7.5345</f>
        <v>0</v>
      </c>
      <c r="H483" s="413">
        <f t="shared" si="340"/>
        <v>0</v>
      </c>
      <c r="I483" s="582">
        <f>H483*7.5345</f>
        <v>0</v>
      </c>
      <c r="J483" s="413">
        <v>70000</v>
      </c>
      <c r="K483" s="582">
        <f>J483*7.5345</f>
        <v>527415</v>
      </c>
      <c r="L483" s="413">
        <v>0</v>
      </c>
      <c r="M483" s="582">
        <f>L483*7.5345</f>
        <v>0</v>
      </c>
      <c r="N483" s="479">
        <v>0</v>
      </c>
      <c r="O483" s="480">
        <v>0</v>
      </c>
    </row>
    <row r="484" spans="1:15" ht="28.8" thickTop="1" thickBot="1" x14ac:dyDescent="0.3">
      <c r="A484" s="426"/>
      <c r="B484" s="493"/>
      <c r="C484" s="42"/>
      <c r="D484" s="421" t="s">
        <v>406</v>
      </c>
      <c r="E484" s="397"/>
      <c r="F484" s="396"/>
      <c r="G484" s="396"/>
      <c r="H484" s="396"/>
      <c r="I484" s="577"/>
      <c r="J484" s="396"/>
      <c r="K484" s="577"/>
      <c r="L484" s="396"/>
      <c r="M484" s="577"/>
      <c r="N484" s="857" t="e">
        <f>AVERAGE(#REF!/#REF!*100)</f>
        <v>#REF!</v>
      </c>
      <c r="O484" s="854">
        <v>0</v>
      </c>
    </row>
    <row r="485" spans="1:15" ht="14.4" thickTop="1" x14ac:dyDescent="0.25">
      <c r="A485" s="426"/>
      <c r="B485" s="493"/>
      <c r="C485" s="42"/>
      <c r="D485" s="421" t="s">
        <v>407</v>
      </c>
      <c r="E485" s="397"/>
      <c r="F485" s="396"/>
      <c r="G485" s="396"/>
      <c r="H485" s="396"/>
      <c r="I485" s="577"/>
      <c r="J485" s="396"/>
      <c r="K485" s="577"/>
      <c r="L485" s="396"/>
      <c r="M485" s="577"/>
      <c r="N485" s="942">
        <f>AVERAGE(J487/H487*100)</f>
        <v>31.25</v>
      </c>
      <c r="O485" s="990">
        <f>AVERAGE(L487/J487*100)</f>
        <v>0</v>
      </c>
    </row>
    <row r="486" spans="1:15" ht="13.8" x14ac:dyDescent="0.25">
      <c r="A486" s="426"/>
      <c r="B486" s="493"/>
      <c r="C486" s="42"/>
      <c r="D486" s="421" t="s">
        <v>677</v>
      </c>
      <c r="E486" s="387"/>
      <c r="F486" s="396"/>
      <c r="G486" s="396"/>
      <c r="H486" s="396"/>
      <c r="I486" s="577"/>
      <c r="J486" s="396"/>
      <c r="K486" s="577"/>
      <c r="L486" s="396"/>
      <c r="M486" s="577"/>
      <c r="N486" s="943"/>
      <c r="O486" s="974"/>
    </row>
    <row r="487" spans="1:15" s="231" customFormat="1" ht="31.2" x14ac:dyDescent="0.3">
      <c r="A487" s="458"/>
      <c r="B487" s="494"/>
      <c r="C487" s="117"/>
      <c r="D487" s="464" t="s">
        <v>665</v>
      </c>
      <c r="E487" s="459">
        <v>100000</v>
      </c>
      <c r="F487" s="457">
        <f t="shared" ref="F487:M488" si="341">SUM(F488)</f>
        <v>200000</v>
      </c>
      <c r="G487" s="457">
        <f t="shared" si="341"/>
        <v>26544.56168292521</v>
      </c>
      <c r="H487" s="457">
        <f>SUM(H488)</f>
        <v>800000</v>
      </c>
      <c r="I487" s="457">
        <f t="shared" ref="I487:L487" si="342">SUM(I488)</f>
        <v>5123460</v>
      </c>
      <c r="J487" s="457">
        <f t="shared" si="342"/>
        <v>250000</v>
      </c>
      <c r="K487" s="457">
        <f t="shared" si="342"/>
        <v>1601081.25</v>
      </c>
      <c r="L487" s="457">
        <f t="shared" si="342"/>
        <v>0</v>
      </c>
      <c r="M487" s="578">
        <f t="shared" si="341"/>
        <v>0</v>
      </c>
      <c r="N487" s="943"/>
      <c r="O487" s="949"/>
    </row>
    <row r="488" spans="1:15" ht="13.8" x14ac:dyDescent="0.25">
      <c r="A488" s="382" t="s">
        <v>586</v>
      </c>
      <c r="B488" s="489"/>
      <c r="C488" s="378">
        <v>42</v>
      </c>
      <c r="D488" s="389" t="s">
        <v>250</v>
      </c>
      <c r="E488" s="386">
        <v>100000</v>
      </c>
      <c r="F488" s="386">
        <f t="shared" si="341"/>
        <v>200000</v>
      </c>
      <c r="G488" s="386">
        <f t="shared" si="341"/>
        <v>26544.56168292521</v>
      </c>
      <c r="H488" s="386">
        <f>SUM(H489+H492)</f>
        <v>800000</v>
      </c>
      <c r="I488" s="386">
        <f t="shared" ref="I488:L488" si="343">SUM(I489+I492)</f>
        <v>5123460</v>
      </c>
      <c r="J488" s="386">
        <f t="shared" si="343"/>
        <v>250000</v>
      </c>
      <c r="K488" s="386">
        <f t="shared" si="343"/>
        <v>1601081.25</v>
      </c>
      <c r="L488" s="386">
        <f t="shared" si="343"/>
        <v>0</v>
      </c>
      <c r="M488" s="581">
        <f t="shared" si="341"/>
        <v>0</v>
      </c>
      <c r="N488" s="409">
        <f t="shared" ref="N488:N493" si="344">AVERAGE(J488/H488*100)</f>
        <v>31.25</v>
      </c>
      <c r="O488" s="427">
        <f>AVERAGE(L488/J488*100)</f>
        <v>0</v>
      </c>
    </row>
    <row r="489" spans="1:15" ht="13.8" x14ac:dyDescent="0.25">
      <c r="A489" s="379" t="s">
        <v>586</v>
      </c>
      <c r="B489" s="488"/>
      <c r="C489" s="391">
        <v>421</v>
      </c>
      <c r="D489" s="392" t="s">
        <v>97</v>
      </c>
      <c r="E489" s="387">
        <v>100000</v>
      </c>
      <c r="F489" s="387">
        <f>SUM(F490:F491)</f>
        <v>200000</v>
      </c>
      <c r="G489" s="387">
        <f>SUM(G490:G491)</f>
        <v>26544.56168292521</v>
      </c>
      <c r="H489" s="387">
        <f>SUM(H491)</f>
        <v>680000</v>
      </c>
      <c r="I489" s="387">
        <f t="shared" ref="I489:L489" si="345">SUM(I491)</f>
        <v>5123460</v>
      </c>
      <c r="J489" s="387">
        <f t="shared" si="345"/>
        <v>212500</v>
      </c>
      <c r="K489" s="387">
        <f t="shared" si="345"/>
        <v>1601081.25</v>
      </c>
      <c r="L489" s="387">
        <f t="shared" si="345"/>
        <v>0</v>
      </c>
      <c r="M489" s="580">
        <f>SUM(M490:M491)</f>
        <v>0</v>
      </c>
      <c r="N489" s="409">
        <f t="shared" si="344"/>
        <v>31.25</v>
      </c>
      <c r="O489" s="427">
        <f t="shared" ref="O489:O493" si="346">AVERAGE(L489/J489*100)</f>
        <v>0</v>
      </c>
    </row>
    <row r="490" spans="1:15" s="589" customFormat="1" ht="13.8" hidden="1" x14ac:dyDescent="0.25">
      <c r="A490" s="379" t="s">
        <v>465</v>
      </c>
      <c r="B490" s="488"/>
      <c r="C490" s="391">
        <v>4214</v>
      </c>
      <c r="D490" s="392" t="s">
        <v>251</v>
      </c>
      <c r="E490" s="387">
        <v>100000</v>
      </c>
      <c r="F490" s="387">
        <v>0</v>
      </c>
      <c r="G490" s="387">
        <v>0</v>
      </c>
      <c r="H490" s="387">
        <v>0</v>
      </c>
      <c r="I490" s="580">
        <v>0</v>
      </c>
      <c r="J490" s="387">
        <v>0</v>
      </c>
      <c r="K490" s="580">
        <v>0</v>
      </c>
      <c r="L490" s="387">
        <v>0</v>
      </c>
      <c r="M490" s="580">
        <v>0</v>
      </c>
      <c r="N490" s="409" t="e">
        <f t="shared" si="344"/>
        <v>#DIV/0!</v>
      </c>
      <c r="O490" s="427" t="e">
        <f t="shared" si="346"/>
        <v>#DIV/0!</v>
      </c>
    </row>
    <row r="491" spans="1:15" s="589" customFormat="1" ht="13.8" hidden="1" x14ac:dyDescent="0.25">
      <c r="A491" s="380" t="s">
        <v>586</v>
      </c>
      <c r="B491" s="495"/>
      <c r="C491" s="424">
        <v>4214</v>
      </c>
      <c r="D491" s="394" t="s">
        <v>251</v>
      </c>
      <c r="E491" s="385">
        <v>100000</v>
      </c>
      <c r="F491" s="385">
        <v>200000</v>
      </c>
      <c r="G491" s="385">
        <f>F491/7.5345</f>
        <v>26544.56168292521</v>
      </c>
      <c r="H491" s="385">
        <v>680000</v>
      </c>
      <c r="I491" s="583">
        <f>H491*7.5345</f>
        <v>5123460</v>
      </c>
      <c r="J491" s="385">
        <v>212500</v>
      </c>
      <c r="K491" s="583">
        <f>J491*7.5345</f>
        <v>1601081.25</v>
      </c>
      <c r="L491" s="387">
        <v>0</v>
      </c>
      <c r="M491" s="580">
        <f>L491*7.5345</f>
        <v>0</v>
      </c>
      <c r="N491" s="404">
        <f t="shared" si="344"/>
        <v>31.25</v>
      </c>
      <c r="O491" s="404">
        <f t="shared" si="346"/>
        <v>0</v>
      </c>
    </row>
    <row r="492" spans="1:15" s="589" customFormat="1" ht="13.8" x14ac:dyDescent="0.25">
      <c r="A492" s="390" t="s">
        <v>586</v>
      </c>
      <c r="B492" s="488"/>
      <c r="C492" s="391">
        <v>421</v>
      </c>
      <c r="D492" s="392" t="s">
        <v>97</v>
      </c>
      <c r="E492" s="387"/>
      <c r="F492" s="387"/>
      <c r="G492" s="387"/>
      <c r="H492" s="387">
        <f>SUM(H493)</f>
        <v>120000</v>
      </c>
      <c r="I492" s="387">
        <f t="shared" ref="I492:L492" si="347">SUM(I493)</f>
        <v>0</v>
      </c>
      <c r="J492" s="387">
        <f t="shared" si="347"/>
        <v>37500</v>
      </c>
      <c r="K492" s="387">
        <f t="shared" si="347"/>
        <v>0</v>
      </c>
      <c r="L492" s="387">
        <f t="shared" si="347"/>
        <v>0</v>
      </c>
      <c r="M492" s="580"/>
      <c r="N492" s="404">
        <f t="shared" si="344"/>
        <v>31.25</v>
      </c>
      <c r="O492" s="404">
        <f t="shared" si="346"/>
        <v>0</v>
      </c>
    </row>
    <row r="493" spans="1:15" s="589" customFormat="1" ht="14.4" hidden="1" thickBot="1" x14ac:dyDescent="0.3">
      <c r="A493" s="713" t="s">
        <v>586</v>
      </c>
      <c r="B493" s="490"/>
      <c r="C493" s="411">
        <v>4214</v>
      </c>
      <c r="D493" s="412" t="s">
        <v>251</v>
      </c>
      <c r="E493" s="413"/>
      <c r="F493" s="413"/>
      <c r="G493" s="413"/>
      <c r="H493" s="413">
        <v>120000</v>
      </c>
      <c r="I493" s="582"/>
      <c r="J493" s="413">
        <v>37500</v>
      </c>
      <c r="K493" s="582"/>
      <c r="L493" s="413">
        <v>0</v>
      </c>
      <c r="M493" s="582"/>
      <c r="N493" s="414">
        <f t="shared" si="344"/>
        <v>31.25</v>
      </c>
      <c r="O493" s="414">
        <f t="shared" si="346"/>
        <v>0</v>
      </c>
    </row>
    <row r="494" spans="1:15" s="589" customFormat="1" ht="13.8" x14ac:dyDescent="0.25">
      <c r="A494" s="426"/>
      <c r="B494" s="493"/>
      <c r="C494" s="42"/>
      <c r="D494" s="421" t="s">
        <v>407</v>
      </c>
      <c r="E494" s="397"/>
      <c r="F494" s="396"/>
      <c r="G494" s="396"/>
      <c r="H494" s="396"/>
      <c r="I494" s="577"/>
      <c r="J494" s="396"/>
      <c r="K494" s="577"/>
      <c r="L494" s="396"/>
      <c r="M494" s="577"/>
      <c r="N494" s="942">
        <f>AVERAGE(J496/H496*100)</f>
        <v>750</v>
      </c>
      <c r="O494" s="974">
        <f>AVERAGE(L496/J496*100)</f>
        <v>0</v>
      </c>
    </row>
    <row r="495" spans="1:15" s="589" customFormat="1" ht="13.8" x14ac:dyDescent="0.25">
      <c r="A495" s="426"/>
      <c r="B495" s="493"/>
      <c r="C495" s="42"/>
      <c r="D495" s="420" t="s">
        <v>670</v>
      </c>
      <c r="E495" s="387"/>
      <c r="F495" s="396"/>
      <c r="G495" s="396"/>
      <c r="H495" s="396"/>
      <c r="I495" s="577"/>
      <c r="J495" s="396"/>
      <c r="K495" s="577"/>
      <c r="L495" s="396"/>
      <c r="M495" s="577"/>
      <c r="N495" s="943"/>
      <c r="O495" s="974"/>
    </row>
    <row r="496" spans="1:15" s="589" customFormat="1" ht="31.2" x14ac:dyDescent="0.3">
      <c r="A496" s="458"/>
      <c r="B496" s="494"/>
      <c r="C496" s="117"/>
      <c r="D496" s="464" t="s">
        <v>666</v>
      </c>
      <c r="E496" s="459">
        <v>100000</v>
      </c>
      <c r="F496" s="457">
        <f t="shared" ref="F496:M497" si="348">SUM(F497)</f>
        <v>150000</v>
      </c>
      <c r="G496" s="457">
        <f t="shared" si="348"/>
        <v>19908.421262193908</v>
      </c>
      <c r="H496" s="457">
        <f>SUM(H497)</f>
        <v>20000</v>
      </c>
      <c r="I496" s="578">
        <f t="shared" si="348"/>
        <v>150690</v>
      </c>
      <c r="J496" s="457">
        <f>SUM(J497)</f>
        <v>150000</v>
      </c>
      <c r="K496" s="578">
        <f t="shared" si="348"/>
        <v>376725</v>
      </c>
      <c r="L496" s="457">
        <f>SUM(L497)</f>
        <v>0</v>
      </c>
      <c r="M496" s="578">
        <f t="shared" si="348"/>
        <v>0</v>
      </c>
      <c r="N496" s="943"/>
      <c r="O496" s="949"/>
    </row>
    <row r="497" spans="1:15" ht="13.8" x14ac:dyDescent="0.25">
      <c r="A497" s="382" t="s">
        <v>587</v>
      </c>
      <c r="B497" s="489"/>
      <c r="C497" s="378">
        <v>42</v>
      </c>
      <c r="D497" s="389" t="s">
        <v>250</v>
      </c>
      <c r="E497" s="386">
        <v>100000</v>
      </c>
      <c r="F497" s="386">
        <f t="shared" si="348"/>
        <v>150000</v>
      </c>
      <c r="G497" s="386">
        <f t="shared" si="348"/>
        <v>19908.421262193908</v>
      </c>
      <c r="H497" s="386">
        <f>SUM(H498+H500)</f>
        <v>20000</v>
      </c>
      <c r="I497" s="581">
        <f t="shared" si="348"/>
        <v>150690</v>
      </c>
      <c r="J497" s="386">
        <f>SUM(J498+J500)</f>
        <v>150000</v>
      </c>
      <c r="K497" s="581">
        <f t="shared" si="348"/>
        <v>376725</v>
      </c>
      <c r="L497" s="386">
        <f>SUM(L498+L500)</f>
        <v>0</v>
      </c>
      <c r="M497" s="581">
        <f t="shared" si="348"/>
        <v>0</v>
      </c>
      <c r="N497" s="409">
        <f t="shared" ref="N497:N501" si="349">AVERAGE(J497/H497*100)</f>
        <v>750</v>
      </c>
      <c r="O497" s="427">
        <f>AVERAGE(L497/J497*100)</f>
        <v>0</v>
      </c>
    </row>
    <row r="498" spans="1:15" s="589" customFormat="1" ht="13.8" x14ac:dyDescent="0.25">
      <c r="A498" s="379" t="s">
        <v>587</v>
      </c>
      <c r="B498" s="488"/>
      <c r="C498" s="391">
        <v>421</v>
      </c>
      <c r="D498" s="392" t="s">
        <v>97</v>
      </c>
      <c r="E498" s="387">
        <v>100000</v>
      </c>
      <c r="F498" s="387">
        <f t="shared" ref="F498:M498" si="350">SUM(F499:F499)</f>
        <v>150000</v>
      </c>
      <c r="G498" s="387">
        <f t="shared" si="350"/>
        <v>19908.421262193908</v>
      </c>
      <c r="H498" s="387">
        <f>SUM(H499)</f>
        <v>20000</v>
      </c>
      <c r="I498" s="580">
        <f t="shared" si="350"/>
        <v>150690</v>
      </c>
      <c r="J498" s="387">
        <f>SUM(J499)</f>
        <v>50000</v>
      </c>
      <c r="K498" s="580">
        <f t="shared" si="350"/>
        <v>376725</v>
      </c>
      <c r="L498" s="387">
        <f>SUM(L499)</f>
        <v>0</v>
      </c>
      <c r="M498" s="580">
        <f t="shared" si="350"/>
        <v>0</v>
      </c>
      <c r="N498" s="409">
        <f t="shared" si="349"/>
        <v>250</v>
      </c>
      <c r="O498" s="427">
        <f t="shared" ref="O498:O501" si="351">AVERAGE(L498/J498*100)</f>
        <v>0</v>
      </c>
    </row>
    <row r="499" spans="1:15" s="589" customFormat="1" ht="13.8" hidden="1" x14ac:dyDescent="0.25">
      <c r="A499" s="390" t="s">
        <v>587</v>
      </c>
      <c r="B499" s="488"/>
      <c r="C499" s="391">
        <v>4214</v>
      </c>
      <c r="D499" s="392" t="s">
        <v>251</v>
      </c>
      <c r="E499" s="387">
        <v>100000</v>
      </c>
      <c r="F499" s="387">
        <v>150000</v>
      </c>
      <c r="G499" s="387">
        <f>F499/7.5345</f>
        <v>19908.421262193908</v>
      </c>
      <c r="H499" s="387">
        <v>20000</v>
      </c>
      <c r="I499" s="580">
        <f>H499*7.5345</f>
        <v>150690</v>
      </c>
      <c r="J499" s="387">
        <v>50000</v>
      </c>
      <c r="K499" s="580">
        <f>J499*7.5345</f>
        <v>376725</v>
      </c>
      <c r="L499" s="387">
        <v>0</v>
      </c>
      <c r="M499" s="580">
        <f>L499*7.5345</f>
        <v>0</v>
      </c>
      <c r="N499" s="404">
        <f t="shared" si="349"/>
        <v>250</v>
      </c>
      <c r="O499" s="404">
        <f t="shared" si="351"/>
        <v>0</v>
      </c>
    </row>
    <row r="500" spans="1:15" s="589" customFormat="1" ht="14.4" thickBot="1" x14ac:dyDescent="0.3">
      <c r="A500" s="390" t="s">
        <v>587</v>
      </c>
      <c r="B500" s="855"/>
      <c r="C500" s="391">
        <v>421</v>
      </c>
      <c r="D500" s="390" t="s">
        <v>97</v>
      </c>
      <c r="E500" s="855"/>
      <c r="F500" s="856"/>
      <c r="G500" s="856"/>
      <c r="H500" s="413">
        <f>SUM(H501)</f>
        <v>0</v>
      </c>
      <c r="I500" s="413">
        <f t="shared" ref="I500:L500" si="352">SUM(I501)</f>
        <v>0</v>
      </c>
      <c r="J500" s="413">
        <f t="shared" si="352"/>
        <v>100000</v>
      </c>
      <c r="K500" s="413">
        <f t="shared" si="352"/>
        <v>0</v>
      </c>
      <c r="L500" s="413">
        <f t="shared" si="352"/>
        <v>0</v>
      </c>
      <c r="M500" s="856"/>
      <c r="N500" s="404" t="e">
        <f t="shared" si="349"/>
        <v>#DIV/0!</v>
      </c>
      <c r="O500" s="404">
        <f t="shared" si="351"/>
        <v>0</v>
      </c>
    </row>
    <row r="501" spans="1:15" s="589" customFormat="1" ht="15" hidden="1" thickTop="1" thickBot="1" x14ac:dyDescent="0.3">
      <c r="A501" s="713" t="s">
        <v>587</v>
      </c>
      <c r="B501" s="490"/>
      <c r="C501" s="411">
        <v>4214</v>
      </c>
      <c r="D501" s="412" t="s">
        <v>251</v>
      </c>
      <c r="E501" s="413"/>
      <c r="F501" s="413"/>
      <c r="G501" s="413"/>
      <c r="H501" s="413">
        <v>0</v>
      </c>
      <c r="I501" s="582"/>
      <c r="J501" s="413">
        <v>100000</v>
      </c>
      <c r="K501" s="582"/>
      <c r="L501" s="387">
        <v>0</v>
      </c>
      <c r="M501" s="582"/>
      <c r="N501" s="404" t="e">
        <f t="shared" si="349"/>
        <v>#DIV/0!</v>
      </c>
      <c r="O501" s="404">
        <f t="shared" si="351"/>
        <v>0</v>
      </c>
    </row>
    <row r="502" spans="1:15" s="589" customFormat="1" ht="14.4" thickTop="1" x14ac:dyDescent="0.25">
      <c r="A502" s="426"/>
      <c r="B502" s="493"/>
      <c r="C502" s="42"/>
      <c r="D502" s="421" t="s">
        <v>407</v>
      </c>
      <c r="E502" s="397"/>
      <c r="F502" s="396"/>
      <c r="G502" s="396"/>
      <c r="H502" s="396"/>
      <c r="I502" s="577"/>
      <c r="J502" s="396"/>
      <c r="K502" s="577"/>
      <c r="L502" s="396"/>
      <c r="M502" s="577"/>
      <c r="N502" s="942">
        <f>AVERAGE(J504/H504*100)</f>
        <v>0</v>
      </c>
      <c r="O502" s="974">
        <v>0</v>
      </c>
    </row>
    <row r="503" spans="1:15" s="591" customFormat="1" ht="13.8" x14ac:dyDescent="0.25">
      <c r="A503" s="426"/>
      <c r="B503" s="493"/>
      <c r="C503" s="42"/>
      <c r="D503" s="420" t="s">
        <v>690</v>
      </c>
      <c r="E503" s="387"/>
      <c r="F503" s="396"/>
      <c r="G503" s="396"/>
      <c r="H503" s="396"/>
      <c r="I503" s="577"/>
      <c r="J503" s="396"/>
      <c r="K503" s="577"/>
      <c r="L503" s="396"/>
      <c r="M503" s="577"/>
      <c r="N503" s="943"/>
      <c r="O503" s="974"/>
    </row>
    <row r="504" spans="1:15" s="589" customFormat="1" ht="31.2" x14ac:dyDescent="0.3">
      <c r="A504" s="458"/>
      <c r="B504" s="494"/>
      <c r="C504" s="117"/>
      <c r="D504" s="464" t="s">
        <v>667</v>
      </c>
      <c r="E504" s="459">
        <v>100000</v>
      </c>
      <c r="F504" s="457">
        <f t="shared" ref="F504:M505" si="353">SUM(F505)</f>
        <v>150000</v>
      </c>
      <c r="G504" s="457">
        <f t="shared" si="353"/>
        <v>19908.421262193908</v>
      </c>
      <c r="H504" s="457">
        <f t="shared" si="353"/>
        <v>60000</v>
      </c>
      <c r="I504" s="457">
        <f t="shared" si="353"/>
        <v>301380</v>
      </c>
      <c r="J504" s="457">
        <f t="shared" si="353"/>
        <v>0</v>
      </c>
      <c r="K504" s="457">
        <f t="shared" si="353"/>
        <v>0</v>
      </c>
      <c r="L504" s="457">
        <f t="shared" si="353"/>
        <v>0</v>
      </c>
      <c r="M504" s="578">
        <f t="shared" si="353"/>
        <v>0</v>
      </c>
      <c r="N504" s="943"/>
      <c r="O504" s="949"/>
    </row>
    <row r="505" spans="1:15" s="589" customFormat="1" ht="13.8" x14ac:dyDescent="0.25">
      <c r="A505" s="382" t="s">
        <v>588</v>
      </c>
      <c r="B505" s="489"/>
      <c r="C505" s="378">
        <v>42</v>
      </c>
      <c r="D505" s="389" t="s">
        <v>250</v>
      </c>
      <c r="E505" s="386">
        <v>100000</v>
      </c>
      <c r="F505" s="386">
        <f t="shared" si="353"/>
        <v>150000</v>
      </c>
      <c r="G505" s="386">
        <f t="shared" si="353"/>
        <v>19908.421262193908</v>
      </c>
      <c r="H505" s="386">
        <f>SUM(H506)</f>
        <v>60000</v>
      </c>
      <c r="I505" s="386">
        <f t="shared" si="353"/>
        <v>301380</v>
      </c>
      <c r="J505" s="386">
        <f t="shared" si="353"/>
        <v>0</v>
      </c>
      <c r="K505" s="386">
        <f t="shared" si="353"/>
        <v>0</v>
      </c>
      <c r="L505" s="386">
        <f t="shared" si="353"/>
        <v>0</v>
      </c>
      <c r="M505" s="581">
        <f t="shared" si="353"/>
        <v>0</v>
      </c>
      <c r="N505" s="409">
        <f t="shared" ref="N505:N508" si="354">AVERAGE(J505/H505*100)</f>
        <v>0</v>
      </c>
      <c r="O505" s="427">
        <v>0</v>
      </c>
    </row>
    <row r="506" spans="1:15" s="589" customFormat="1" ht="14.4" thickBot="1" x14ac:dyDescent="0.3">
      <c r="A506" s="379" t="s">
        <v>588</v>
      </c>
      <c r="B506" s="488"/>
      <c r="C506" s="391">
        <v>421</v>
      </c>
      <c r="D506" s="392" t="s">
        <v>97</v>
      </c>
      <c r="E506" s="387">
        <v>100000</v>
      </c>
      <c r="F506" s="387">
        <f t="shared" ref="F506:M506" si="355">SUM(F508:F508)</f>
        <v>150000</v>
      </c>
      <c r="G506" s="387">
        <f t="shared" si="355"/>
        <v>19908.421262193908</v>
      </c>
      <c r="H506" s="387">
        <f>SUM(H507+H508)</f>
        <v>60000</v>
      </c>
      <c r="I506" s="387">
        <f t="shared" si="355"/>
        <v>301380</v>
      </c>
      <c r="J506" s="387">
        <f t="shared" si="355"/>
        <v>0</v>
      </c>
      <c r="K506" s="387">
        <f t="shared" si="355"/>
        <v>0</v>
      </c>
      <c r="L506" s="387">
        <f t="shared" si="355"/>
        <v>0</v>
      </c>
      <c r="M506" s="580">
        <f t="shared" si="355"/>
        <v>0</v>
      </c>
      <c r="N506" s="409">
        <f t="shared" si="354"/>
        <v>0</v>
      </c>
      <c r="O506" s="427">
        <v>0</v>
      </c>
    </row>
    <row r="507" spans="1:15" s="589" customFormat="1" ht="14.4" hidden="1" thickBot="1" x14ac:dyDescent="0.3">
      <c r="A507" s="432" t="s">
        <v>588</v>
      </c>
      <c r="B507" s="490"/>
      <c r="C507" s="411">
        <v>4214</v>
      </c>
      <c r="D507" s="412" t="s">
        <v>251</v>
      </c>
      <c r="E507" s="413">
        <v>100000</v>
      </c>
      <c r="F507" s="413">
        <v>150000</v>
      </c>
      <c r="G507" s="387">
        <f>F507/7.5345</f>
        <v>19908.421262193908</v>
      </c>
      <c r="H507" s="387">
        <v>20000</v>
      </c>
      <c r="I507" s="580">
        <f>H507*7.5345</f>
        <v>150690</v>
      </c>
      <c r="J507" s="387">
        <v>0</v>
      </c>
      <c r="K507" s="580">
        <f>J507*7.5345</f>
        <v>0</v>
      </c>
      <c r="L507" s="387">
        <v>0</v>
      </c>
      <c r="M507" s="580">
        <f>L507*7.5345</f>
        <v>0</v>
      </c>
      <c r="N507" s="409">
        <f t="shared" ref="N507" si="356">AVERAGE(J507/H507*100)</f>
        <v>0</v>
      </c>
      <c r="O507" s="427">
        <v>0</v>
      </c>
    </row>
    <row r="508" spans="1:15" ht="18" hidden="1" customHeight="1" thickBot="1" x14ac:dyDescent="0.3">
      <c r="A508" s="432" t="s">
        <v>588</v>
      </c>
      <c r="B508" s="490"/>
      <c r="C508" s="411">
        <v>4214</v>
      </c>
      <c r="D508" s="412" t="s">
        <v>251</v>
      </c>
      <c r="E508" s="413">
        <v>100000</v>
      </c>
      <c r="F508" s="413">
        <v>150000</v>
      </c>
      <c r="G508" s="387">
        <f>F508/7.5345</f>
        <v>19908.421262193908</v>
      </c>
      <c r="H508" s="387">
        <v>40000</v>
      </c>
      <c r="I508" s="580">
        <f>H508*7.5345</f>
        <v>301380</v>
      </c>
      <c r="J508" s="387">
        <v>0</v>
      </c>
      <c r="K508" s="580">
        <f>J508*7.5345</f>
        <v>0</v>
      </c>
      <c r="L508" s="387">
        <v>0</v>
      </c>
      <c r="M508" s="580">
        <f>L508*7.5345</f>
        <v>0</v>
      </c>
      <c r="N508" s="409">
        <f t="shared" si="354"/>
        <v>0</v>
      </c>
      <c r="O508" s="427">
        <v>0</v>
      </c>
    </row>
    <row r="509" spans="1:15" s="29" customFormat="1" ht="14.4" thickTop="1" x14ac:dyDescent="0.25">
      <c r="A509" s="822"/>
      <c r="B509" s="823"/>
      <c r="C509" s="824"/>
      <c r="D509" s="825" t="s">
        <v>407</v>
      </c>
      <c r="E509" s="731"/>
      <c r="F509" s="826"/>
      <c r="G509" s="761"/>
      <c r="H509" s="730"/>
      <c r="I509" s="761"/>
      <c r="J509" s="730"/>
      <c r="K509" s="730"/>
      <c r="L509" s="730"/>
      <c r="M509" s="827"/>
      <c r="N509" s="852"/>
      <c r="O509" s="852"/>
    </row>
    <row r="510" spans="1:15" ht="15" x14ac:dyDescent="0.25">
      <c r="A510" s="822"/>
      <c r="B510" s="823"/>
      <c r="C510" s="828"/>
      <c r="D510" s="829" t="s">
        <v>691</v>
      </c>
      <c r="E510" s="731"/>
      <c r="F510" s="826"/>
      <c r="G510" s="761"/>
      <c r="H510" s="730"/>
      <c r="I510" s="761"/>
      <c r="J510" s="730"/>
      <c r="K510" s="730"/>
      <c r="L510" s="730"/>
      <c r="M510" s="827"/>
      <c r="N510" s="852"/>
      <c r="O510" s="852"/>
    </row>
    <row r="511" spans="1:15" ht="27.6" x14ac:dyDescent="0.25">
      <c r="A511" s="822"/>
      <c r="B511" s="823"/>
      <c r="C511" s="824"/>
      <c r="D511" s="830" t="s">
        <v>668</v>
      </c>
      <c r="E511" s="731"/>
      <c r="F511" s="826"/>
      <c r="G511" s="761"/>
      <c r="H511" s="730">
        <v>0</v>
      </c>
      <c r="I511" s="761"/>
      <c r="J511" s="730">
        <f>SUM(J512)</f>
        <v>500000</v>
      </c>
      <c r="K511" s="730">
        <f t="shared" ref="K511:L511" si="357">SUM(K512)</f>
        <v>0</v>
      </c>
      <c r="L511" s="730">
        <f t="shared" si="357"/>
        <v>700000</v>
      </c>
      <c r="M511" s="827"/>
      <c r="N511" s="852" t="e">
        <f>AVERAGE(J511/H511*100)</f>
        <v>#DIV/0!</v>
      </c>
      <c r="O511" s="852">
        <f>AVERAGE(J511/L511*100)</f>
        <v>71.428571428571431</v>
      </c>
    </row>
    <row r="512" spans="1:15" ht="13.8" x14ac:dyDescent="0.25">
      <c r="A512" s="831" t="s">
        <v>608</v>
      </c>
      <c r="B512" s="745"/>
      <c r="C512" s="767">
        <v>42</v>
      </c>
      <c r="D512" s="832" t="s">
        <v>250</v>
      </c>
      <c r="E512" s="811"/>
      <c r="F512" s="812"/>
      <c r="G512" s="735"/>
      <c r="H512" s="728">
        <v>0</v>
      </c>
      <c r="I512" s="735"/>
      <c r="J512" s="728">
        <f>SUM(J513+J515)</f>
        <v>500000</v>
      </c>
      <c r="K512" s="728">
        <f t="shared" ref="K512:L512" si="358">SUM(K513+K515)</f>
        <v>0</v>
      </c>
      <c r="L512" s="728">
        <f t="shared" si="358"/>
        <v>700000</v>
      </c>
      <c r="M512" s="728"/>
      <c r="N512" s="728" t="e">
        <f t="shared" ref="N512:N516" si="359">AVERAGE(J512/H512*100)</f>
        <v>#DIV/0!</v>
      </c>
      <c r="O512" s="728">
        <f t="shared" ref="O512:O516" si="360">AVERAGE(J512/L512*100)</f>
        <v>71.428571428571431</v>
      </c>
    </row>
    <row r="513" spans="1:15" s="415" customFormat="1" ht="14.4" thickBot="1" x14ac:dyDescent="0.3">
      <c r="A513" s="831" t="s">
        <v>608</v>
      </c>
      <c r="B513" s="745"/>
      <c r="C513" s="791">
        <v>421</v>
      </c>
      <c r="D513" s="832" t="s">
        <v>97</v>
      </c>
      <c r="E513" s="811"/>
      <c r="F513" s="812"/>
      <c r="G513" s="735"/>
      <c r="H513" s="728">
        <v>0</v>
      </c>
      <c r="I513" s="735"/>
      <c r="J513" s="728">
        <f>SUM(J514)</f>
        <v>425000</v>
      </c>
      <c r="K513" s="728">
        <f t="shared" ref="K513:L513" si="361">SUM(K514)</f>
        <v>0</v>
      </c>
      <c r="L513" s="728">
        <f t="shared" si="361"/>
        <v>595000</v>
      </c>
      <c r="M513" s="728"/>
      <c r="N513" s="728" t="e">
        <f t="shared" si="359"/>
        <v>#DIV/0!</v>
      </c>
      <c r="O513" s="728">
        <f t="shared" si="360"/>
        <v>71.428571428571431</v>
      </c>
    </row>
    <row r="514" spans="1:15" ht="14.4" hidden="1" thickTop="1" x14ac:dyDescent="0.25">
      <c r="A514" s="831" t="s">
        <v>608</v>
      </c>
      <c r="B514" s="745"/>
      <c r="C514" s="791">
        <v>4214</v>
      </c>
      <c r="D514" s="832" t="s">
        <v>251</v>
      </c>
      <c r="E514" s="811"/>
      <c r="F514" s="812"/>
      <c r="G514" s="735"/>
      <c r="H514" s="728">
        <v>0</v>
      </c>
      <c r="I514" s="735"/>
      <c r="J514" s="728">
        <v>425000</v>
      </c>
      <c r="K514" s="728"/>
      <c r="L514" s="728">
        <v>595000</v>
      </c>
      <c r="M514" s="728"/>
      <c r="N514" s="728" t="e">
        <f t="shared" si="359"/>
        <v>#DIV/0!</v>
      </c>
      <c r="O514" s="728">
        <f t="shared" si="360"/>
        <v>71.428571428571431</v>
      </c>
    </row>
    <row r="515" spans="1:15" ht="15" thickTop="1" thickBot="1" x14ac:dyDescent="0.3">
      <c r="A515" s="831" t="s">
        <v>608</v>
      </c>
      <c r="B515" s="745"/>
      <c r="C515" s="791">
        <v>421</v>
      </c>
      <c r="D515" s="832" t="s">
        <v>97</v>
      </c>
      <c r="E515" s="811"/>
      <c r="F515" s="812"/>
      <c r="G515" s="735"/>
      <c r="H515" s="728">
        <v>0</v>
      </c>
      <c r="I515" s="735"/>
      <c r="J515" s="728">
        <f>SUM(J516)</f>
        <v>75000</v>
      </c>
      <c r="K515" s="728">
        <f t="shared" ref="K515:L515" si="362">SUM(K516)</f>
        <v>0</v>
      </c>
      <c r="L515" s="728">
        <f t="shared" si="362"/>
        <v>105000</v>
      </c>
      <c r="M515" s="728"/>
      <c r="N515" s="728" t="e">
        <f t="shared" si="359"/>
        <v>#DIV/0!</v>
      </c>
      <c r="O515" s="728">
        <f t="shared" si="360"/>
        <v>71.428571428571431</v>
      </c>
    </row>
    <row r="516" spans="1:15" ht="21.75" hidden="1" customHeight="1" thickBot="1" x14ac:dyDescent="0.3">
      <c r="A516" s="833" t="s">
        <v>608</v>
      </c>
      <c r="B516" s="754"/>
      <c r="C516" s="816">
        <v>4214</v>
      </c>
      <c r="D516" s="817" t="s">
        <v>251</v>
      </c>
      <c r="E516" s="818"/>
      <c r="F516" s="819"/>
      <c r="G516" s="758"/>
      <c r="H516" s="757">
        <v>0</v>
      </c>
      <c r="I516" s="758"/>
      <c r="J516" s="757">
        <v>75000</v>
      </c>
      <c r="K516" s="757"/>
      <c r="L516" s="757">
        <v>105000</v>
      </c>
      <c r="M516" s="757"/>
      <c r="N516" s="728" t="e">
        <f t="shared" si="359"/>
        <v>#DIV/0!</v>
      </c>
      <c r="O516" s="728">
        <f t="shared" si="360"/>
        <v>71.428571428571431</v>
      </c>
    </row>
    <row r="517" spans="1:15" ht="25.95" customHeight="1" thickBot="1" x14ac:dyDescent="0.35">
      <c r="A517" s="985" t="s">
        <v>657</v>
      </c>
      <c r="B517" s="986"/>
      <c r="C517" s="986"/>
      <c r="D517" s="987"/>
      <c r="E517" s="446">
        <v>120000</v>
      </c>
      <c r="F517" s="446">
        <f t="shared" ref="F517:I517" si="363">SUM(F520)</f>
        <v>0</v>
      </c>
      <c r="G517" s="446">
        <f t="shared" si="363"/>
        <v>0</v>
      </c>
      <c r="H517" s="446">
        <f>SUM(H520+H527)</f>
        <v>48000</v>
      </c>
      <c r="I517" s="575">
        <f t="shared" si="363"/>
        <v>0</v>
      </c>
      <c r="J517" s="446">
        <f t="shared" ref="J517:M517" si="364">SUM(J520)</f>
        <v>0</v>
      </c>
      <c r="K517" s="575">
        <f t="shared" si="364"/>
        <v>0</v>
      </c>
      <c r="L517" s="446">
        <f t="shared" si="364"/>
        <v>0</v>
      </c>
      <c r="M517" s="575">
        <f t="shared" si="364"/>
        <v>0</v>
      </c>
      <c r="N517" s="448">
        <v>0</v>
      </c>
      <c r="O517" s="449">
        <v>0</v>
      </c>
    </row>
    <row r="518" spans="1:15" ht="13.8" x14ac:dyDescent="0.25">
      <c r="A518" s="771"/>
      <c r="B518" s="773"/>
      <c r="C518" s="773"/>
      <c r="D518" s="760" t="s">
        <v>658</v>
      </c>
      <c r="E518" s="774"/>
      <c r="F518" s="730"/>
      <c r="G518" s="730"/>
      <c r="H518" s="730"/>
      <c r="I518" s="761"/>
      <c r="J518" s="730"/>
      <c r="K518" s="761"/>
      <c r="L518" s="730"/>
      <c r="M518" s="761"/>
      <c r="N518" s="946">
        <v>0</v>
      </c>
      <c r="O518" s="989">
        <v>0</v>
      </c>
    </row>
    <row r="519" spans="1:15" s="42" customFormat="1" ht="13.8" x14ac:dyDescent="0.25">
      <c r="A519" s="771"/>
      <c r="B519" s="773"/>
      <c r="C519" s="773"/>
      <c r="D519" s="760" t="s">
        <v>681</v>
      </c>
      <c r="E519" s="728"/>
      <c r="F519" s="730"/>
      <c r="G519" s="730"/>
      <c r="H519" s="730"/>
      <c r="I519" s="761"/>
      <c r="J519" s="730"/>
      <c r="K519" s="761"/>
      <c r="L519" s="730"/>
      <c r="M519" s="761"/>
      <c r="N519" s="988"/>
      <c r="O519" s="959"/>
    </row>
    <row r="520" spans="1:15" s="42" customFormat="1" ht="15.6" x14ac:dyDescent="0.3">
      <c r="A520" s="771"/>
      <c r="B520" s="773"/>
      <c r="C520" s="773"/>
      <c r="D520" s="853" t="s">
        <v>223</v>
      </c>
      <c r="E520" s="728">
        <v>120000</v>
      </c>
      <c r="F520" s="712">
        <f t="shared" ref="F520:M521" si="365">SUM(F521)</f>
        <v>0</v>
      </c>
      <c r="G520" s="712">
        <f t="shared" si="365"/>
        <v>0</v>
      </c>
      <c r="H520" s="712">
        <f t="shared" si="365"/>
        <v>30000</v>
      </c>
      <c r="I520" s="779">
        <f t="shared" si="365"/>
        <v>0</v>
      </c>
      <c r="J520" s="712">
        <f t="shared" si="365"/>
        <v>0</v>
      </c>
      <c r="K520" s="779">
        <f t="shared" si="365"/>
        <v>0</v>
      </c>
      <c r="L520" s="712">
        <f t="shared" si="365"/>
        <v>0</v>
      </c>
      <c r="M520" s="779">
        <f t="shared" si="365"/>
        <v>0</v>
      </c>
      <c r="N520" s="988"/>
      <c r="O520" s="959"/>
    </row>
    <row r="521" spans="1:15" s="117" customFormat="1" ht="15.6" x14ac:dyDescent="0.3">
      <c r="A521" s="799" t="s">
        <v>466</v>
      </c>
      <c r="B521" s="739"/>
      <c r="C521" s="741">
        <v>42</v>
      </c>
      <c r="D521" s="742" t="s">
        <v>250</v>
      </c>
      <c r="E521" s="743">
        <v>120000</v>
      </c>
      <c r="F521" s="743">
        <f t="shared" si="365"/>
        <v>0</v>
      </c>
      <c r="G521" s="743">
        <f t="shared" si="365"/>
        <v>0</v>
      </c>
      <c r="H521" s="743">
        <f t="shared" si="365"/>
        <v>30000</v>
      </c>
      <c r="I521" s="744">
        <f t="shared" si="365"/>
        <v>0</v>
      </c>
      <c r="J521" s="743">
        <f t="shared" si="365"/>
        <v>0</v>
      </c>
      <c r="K521" s="744">
        <f t="shared" si="365"/>
        <v>0</v>
      </c>
      <c r="L521" s="743">
        <f t="shared" si="365"/>
        <v>0</v>
      </c>
      <c r="M521" s="744">
        <f t="shared" si="365"/>
        <v>0</v>
      </c>
      <c r="N521" s="736">
        <v>0</v>
      </c>
      <c r="O521" s="783">
        <v>0</v>
      </c>
    </row>
    <row r="522" spans="1:15" s="29" customFormat="1" ht="13.8" x14ac:dyDescent="0.25">
      <c r="A522" s="800" t="s">
        <v>466</v>
      </c>
      <c r="B522" s="737"/>
      <c r="C522" s="746">
        <v>426</v>
      </c>
      <c r="D522" s="734" t="s">
        <v>117</v>
      </c>
      <c r="E522" s="728">
        <v>120000</v>
      </c>
      <c r="F522" s="728">
        <f t="shared" ref="F522:M522" si="366">SUM(F523:F524)</f>
        <v>0</v>
      </c>
      <c r="G522" s="728">
        <f t="shared" si="366"/>
        <v>0</v>
      </c>
      <c r="H522" s="728">
        <f t="shared" si="366"/>
        <v>30000</v>
      </c>
      <c r="I522" s="735">
        <f t="shared" si="366"/>
        <v>0</v>
      </c>
      <c r="J522" s="728">
        <f t="shared" si="366"/>
        <v>0</v>
      </c>
      <c r="K522" s="735">
        <f t="shared" si="366"/>
        <v>0</v>
      </c>
      <c r="L522" s="728">
        <f t="shared" si="366"/>
        <v>0</v>
      </c>
      <c r="M522" s="735">
        <f t="shared" si="366"/>
        <v>0</v>
      </c>
      <c r="N522" s="736">
        <v>0</v>
      </c>
      <c r="O522" s="783">
        <v>0</v>
      </c>
    </row>
    <row r="523" spans="1:15" s="42" customFormat="1" ht="13.8" hidden="1" x14ac:dyDescent="0.25">
      <c r="A523" s="800" t="s">
        <v>466</v>
      </c>
      <c r="B523" s="737"/>
      <c r="C523" s="746">
        <v>4263</v>
      </c>
      <c r="D523" s="734" t="s">
        <v>260</v>
      </c>
      <c r="E523" s="728"/>
      <c r="F523" s="728">
        <v>0</v>
      </c>
      <c r="G523" s="728">
        <v>0</v>
      </c>
      <c r="H523" s="728">
        <v>25500</v>
      </c>
      <c r="I523" s="735">
        <v>0</v>
      </c>
      <c r="J523" s="728">
        <v>0</v>
      </c>
      <c r="K523" s="735">
        <v>0</v>
      </c>
      <c r="L523" s="728">
        <v>0</v>
      </c>
      <c r="M523" s="735">
        <v>0</v>
      </c>
      <c r="N523" s="736">
        <v>0</v>
      </c>
      <c r="O523" s="783">
        <v>0</v>
      </c>
    </row>
    <row r="524" spans="1:15" s="688" customFormat="1" ht="14.4" hidden="1" thickBot="1" x14ac:dyDescent="0.3">
      <c r="A524" s="800" t="s">
        <v>466</v>
      </c>
      <c r="B524" s="737"/>
      <c r="C524" s="746">
        <v>4263</v>
      </c>
      <c r="D524" s="734" t="s">
        <v>260</v>
      </c>
      <c r="E524" s="728">
        <v>120000</v>
      </c>
      <c r="F524" s="728">
        <v>0</v>
      </c>
      <c r="G524" s="728">
        <v>0</v>
      </c>
      <c r="H524" s="728">
        <v>4500</v>
      </c>
      <c r="I524" s="735">
        <v>0</v>
      </c>
      <c r="J524" s="728">
        <v>0</v>
      </c>
      <c r="K524" s="735">
        <v>0</v>
      </c>
      <c r="L524" s="728">
        <v>0</v>
      </c>
      <c r="M524" s="735">
        <v>0</v>
      </c>
      <c r="N524" s="736">
        <v>0</v>
      </c>
      <c r="O524" s="783">
        <v>0</v>
      </c>
    </row>
    <row r="525" spans="1:15" ht="27.6" x14ac:dyDescent="0.25">
      <c r="A525" s="771"/>
      <c r="B525" s="773"/>
      <c r="C525" s="773"/>
      <c r="D525" s="760" t="s">
        <v>659</v>
      </c>
      <c r="E525" s="774"/>
      <c r="F525" s="730"/>
      <c r="G525" s="730"/>
      <c r="H525" s="730"/>
      <c r="I525" s="761"/>
      <c r="J525" s="730"/>
      <c r="K525" s="761"/>
      <c r="L525" s="730"/>
      <c r="M525" s="761"/>
      <c r="N525" s="946">
        <v>0</v>
      </c>
      <c r="O525" s="989">
        <v>0</v>
      </c>
    </row>
    <row r="526" spans="1:15" ht="13.8" x14ac:dyDescent="0.25">
      <c r="A526" s="771"/>
      <c r="B526" s="773"/>
      <c r="C526" s="773"/>
      <c r="D526" s="760" t="s">
        <v>681</v>
      </c>
      <c r="E526" s="728"/>
      <c r="F526" s="730"/>
      <c r="G526" s="730"/>
      <c r="H526" s="730"/>
      <c r="I526" s="761"/>
      <c r="J526" s="730"/>
      <c r="K526" s="761"/>
      <c r="L526" s="730"/>
      <c r="M526" s="761"/>
      <c r="N526" s="988"/>
      <c r="O526" s="959"/>
    </row>
    <row r="527" spans="1:15" s="117" customFormat="1" ht="15.6" x14ac:dyDescent="0.3">
      <c r="A527" s="771"/>
      <c r="B527" s="773"/>
      <c r="C527" s="773"/>
      <c r="D527" s="853" t="s">
        <v>223</v>
      </c>
      <c r="E527" s="728">
        <v>120000</v>
      </c>
      <c r="F527" s="712">
        <f t="shared" ref="F527:M528" si="367">SUM(F528)</f>
        <v>0</v>
      </c>
      <c r="G527" s="712">
        <f t="shared" si="367"/>
        <v>0</v>
      </c>
      <c r="H527" s="712">
        <f t="shared" si="367"/>
        <v>18000</v>
      </c>
      <c r="I527" s="779">
        <f t="shared" si="367"/>
        <v>0</v>
      </c>
      <c r="J527" s="712">
        <f t="shared" si="367"/>
        <v>0</v>
      </c>
      <c r="K527" s="779">
        <f t="shared" si="367"/>
        <v>0</v>
      </c>
      <c r="L527" s="712">
        <f t="shared" si="367"/>
        <v>0</v>
      </c>
      <c r="M527" s="779">
        <f t="shared" si="367"/>
        <v>0</v>
      </c>
      <c r="N527" s="988"/>
      <c r="O527" s="959"/>
    </row>
    <row r="528" spans="1:15" s="29" customFormat="1" ht="13.8" x14ac:dyDescent="0.25">
      <c r="A528" s="799" t="s">
        <v>466</v>
      </c>
      <c r="B528" s="739"/>
      <c r="C528" s="741">
        <v>42</v>
      </c>
      <c r="D528" s="742" t="s">
        <v>250</v>
      </c>
      <c r="E528" s="743">
        <v>120000</v>
      </c>
      <c r="F528" s="743">
        <f t="shared" si="367"/>
        <v>0</v>
      </c>
      <c r="G528" s="743">
        <f t="shared" si="367"/>
        <v>0</v>
      </c>
      <c r="H528" s="743">
        <f t="shared" si="367"/>
        <v>18000</v>
      </c>
      <c r="I528" s="744">
        <f t="shared" si="367"/>
        <v>0</v>
      </c>
      <c r="J528" s="743">
        <f t="shared" si="367"/>
        <v>0</v>
      </c>
      <c r="K528" s="744">
        <f t="shared" si="367"/>
        <v>0</v>
      </c>
      <c r="L528" s="743">
        <f t="shared" si="367"/>
        <v>0</v>
      </c>
      <c r="M528" s="744">
        <f t="shared" si="367"/>
        <v>0</v>
      </c>
      <c r="N528" s="736">
        <v>0</v>
      </c>
      <c r="O528" s="783">
        <v>0</v>
      </c>
    </row>
    <row r="529" spans="1:15" ht="13.8" x14ac:dyDescent="0.25">
      <c r="A529" s="800" t="s">
        <v>466</v>
      </c>
      <c r="B529" s="737"/>
      <c r="C529" s="746">
        <v>426</v>
      </c>
      <c r="D529" s="734" t="s">
        <v>117</v>
      </c>
      <c r="E529" s="728">
        <v>120000</v>
      </c>
      <c r="F529" s="728">
        <f t="shared" ref="F529:M529" si="368">SUM(F530:F531)</f>
        <v>0</v>
      </c>
      <c r="G529" s="728">
        <f t="shared" si="368"/>
        <v>0</v>
      </c>
      <c r="H529" s="728">
        <f t="shared" si="368"/>
        <v>18000</v>
      </c>
      <c r="I529" s="735">
        <f t="shared" si="368"/>
        <v>0</v>
      </c>
      <c r="J529" s="728">
        <f t="shared" si="368"/>
        <v>0</v>
      </c>
      <c r="K529" s="735">
        <f t="shared" si="368"/>
        <v>0</v>
      </c>
      <c r="L529" s="728">
        <f t="shared" si="368"/>
        <v>0</v>
      </c>
      <c r="M529" s="735">
        <f t="shared" si="368"/>
        <v>0</v>
      </c>
      <c r="N529" s="736">
        <v>0</v>
      </c>
      <c r="O529" s="783">
        <v>0</v>
      </c>
    </row>
    <row r="530" spans="1:15" ht="13.8" hidden="1" x14ac:dyDescent="0.25">
      <c r="A530" s="800" t="s">
        <v>466</v>
      </c>
      <c r="B530" s="737"/>
      <c r="C530" s="746">
        <v>4263</v>
      </c>
      <c r="D530" s="734" t="s">
        <v>260</v>
      </c>
      <c r="E530" s="728"/>
      <c r="F530" s="728">
        <v>0</v>
      </c>
      <c r="G530" s="728">
        <v>0</v>
      </c>
      <c r="H530" s="728">
        <v>15300</v>
      </c>
      <c r="I530" s="735">
        <v>0</v>
      </c>
      <c r="J530" s="728">
        <v>0</v>
      </c>
      <c r="K530" s="735">
        <v>0</v>
      </c>
      <c r="L530" s="728">
        <v>0</v>
      </c>
      <c r="M530" s="735">
        <v>0</v>
      </c>
      <c r="N530" s="736">
        <v>0</v>
      </c>
      <c r="O530" s="783">
        <v>0</v>
      </c>
    </row>
    <row r="531" spans="1:15" ht="38.25" customHeight="1" thickBot="1" x14ac:dyDescent="0.3">
      <c r="A531" s="849" t="s">
        <v>466</v>
      </c>
      <c r="B531" s="747"/>
      <c r="C531" s="749">
        <v>4263</v>
      </c>
      <c r="D531" s="750" t="s">
        <v>260</v>
      </c>
      <c r="E531" s="751">
        <v>120000</v>
      </c>
      <c r="F531" s="751">
        <v>0</v>
      </c>
      <c r="G531" s="751">
        <v>0</v>
      </c>
      <c r="H531" s="751">
        <v>2700</v>
      </c>
      <c r="I531" s="752">
        <v>0</v>
      </c>
      <c r="J531" s="751">
        <v>0</v>
      </c>
      <c r="K531" s="752">
        <v>0</v>
      </c>
      <c r="L531" s="751">
        <v>0</v>
      </c>
      <c r="M531" s="752">
        <v>0</v>
      </c>
      <c r="N531" s="753">
        <v>0</v>
      </c>
      <c r="O531" s="792">
        <v>0</v>
      </c>
    </row>
    <row r="532" spans="1:15" ht="18.600000000000001" thickTop="1" thickBot="1" x14ac:dyDescent="0.35">
      <c r="A532" s="983" t="s">
        <v>655</v>
      </c>
      <c r="B532" s="984"/>
      <c r="C532" s="984"/>
      <c r="D532" s="984"/>
      <c r="E532" s="858" t="e">
        <f>SUM(E535+#REF!+E613+E623+E629+E635)</f>
        <v>#REF!</v>
      </c>
      <c r="F532" s="859" t="e">
        <f>SUM(F535+#REF!+F555)</f>
        <v>#REF!</v>
      </c>
      <c r="G532" s="859" t="e">
        <f>SUM(G535+#REF!+G555)</f>
        <v>#REF!</v>
      </c>
      <c r="H532" s="859">
        <f>SUM(H535+H555)</f>
        <v>172000</v>
      </c>
      <c r="I532" s="859">
        <f>SUM(I535+I555)</f>
        <v>1235575.2</v>
      </c>
      <c r="J532" s="859">
        <f>SUM(J535+J555)</f>
        <v>170500</v>
      </c>
      <c r="K532" s="859">
        <f>SUM(K535+K555)</f>
        <v>1224273.45</v>
      </c>
      <c r="L532" s="859">
        <f>SUM(L535+L555)</f>
        <v>172000</v>
      </c>
      <c r="M532" s="860" t="e">
        <f>SUM(M535+#REF!+M555)</f>
        <v>#REF!</v>
      </c>
      <c r="N532" s="861">
        <f>AVERAGE(J532/H532*100)</f>
        <v>99.127906976744185</v>
      </c>
      <c r="O532" s="862">
        <f>AVERAGE(L532/J532*100)</f>
        <v>100.87976539589442</v>
      </c>
    </row>
    <row r="533" spans="1:15" ht="13.8" x14ac:dyDescent="0.25">
      <c r="A533" s="771"/>
      <c r="B533" s="773"/>
      <c r="C533" s="773"/>
      <c r="D533" s="787" t="s">
        <v>178</v>
      </c>
      <c r="E533" s="838"/>
      <c r="F533" s="730"/>
      <c r="G533" s="730"/>
      <c r="H533" s="730"/>
      <c r="I533" s="761"/>
      <c r="J533" s="730"/>
      <c r="K533" s="761"/>
      <c r="L533" s="730"/>
      <c r="M533" s="761"/>
      <c r="N533" s="946">
        <f>AVERAGE(J535/H535*100)</f>
        <v>100</v>
      </c>
      <c r="O533" s="992">
        <f>AVERAGE(L535/J535*100)</f>
        <v>100</v>
      </c>
    </row>
    <row r="534" spans="1:15" s="447" customFormat="1" ht="17.399999999999999" x14ac:dyDescent="0.3">
      <c r="A534" s="771"/>
      <c r="B534" s="773"/>
      <c r="C534" s="773"/>
      <c r="D534" s="787" t="s">
        <v>536</v>
      </c>
      <c r="E534" s="839"/>
      <c r="F534" s="730"/>
      <c r="G534" s="730"/>
      <c r="H534" s="730"/>
      <c r="I534" s="761"/>
      <c r="J534" s="730"/>
      <c r="K534" s="761"/>
      <c r="L534" s="730"/>
      <c r="M534" s="761"/>
      <c r="N534" s="947"/>
      <c r="O534" s="992"/>
    </row>
    <row r="535" spans="1:15" ht="15.6" x14ac:dyDescent="0.3">
      <c r="A535" s="840"/>
      <c r="B535" s="841"/>
      <c r="C535" s="841"/>
      <c r="D535" s="842" t="s">
        <v>609</v>
      </c>
      <c r="E535" s="843">
        <f t="shared" ref="E535:M535" si="369">SUM(E536+E546)</f>
        <v>524300</v>
      </c>
      <c r="F535" s="712">
        <f t="shared" si="369"/>
        <v>362000</v>
      </c>
      <c r="G535" s="712">
        <f t="shared" si="369"/>
        <v>48045.656646094634</v>
      </c>
      <c r="H535" s="712">
        <f t="shared" si="369"/>
        <v>158000</v>
      </c>
      <c r="I535" s="712">
        <f t="shared" si="369"/>
        <v>1183669.95</v>
      </c>
      <c r="J535" s="712">
        <f t="shared" si="369"/>
        <v>158000</v>
      </c>
      <c r="K535" s="712">
        <f t="shared" si="369"/>
        <v>1183669.95</v>
      </c>
      <c r="L535" s="712">
        <f t="shared" si="369"/>
        <v>158000</v>
      </c>
      <c r="M535" s="779">
        <f t="shared" si="369"/>
        <v>1011883.3500000001</v>
      </c>
      <c r="N535" s="947"/>
      <c r="O535" s="989"/>
    </row>
    <row r="536" spans="1:15" ht="13.8" x14ac:dyDescent="0.25">
      <c r="A536" s="799" t="s">
        <v>589</v>
      </c>
      <c r="B536" s="844"/>
      <c r="C536" s="845">
        <v>31</v>
      </c>
      <c r="D536" s="846" t="s">
        <v>41</v>
      </c>
      <c r="E536" s="847">
        <f>SUM(E537+E540+E543)</f>
        <v>482800</v>
      </c>
      <c r="F536" s="847">
        <f>SUM(F537+F540+F543)</f>
        <v>350000</v>
      </c>
      <c r="G536" s="847">
        <f>SUM(G537+G540+G543)</f>
        <v>46452.982945119118</v>
      </c>
      <c r="H536" s="847">
        <f>SUM(H537+H540+H543)</f>
        <v>149000</v>
      </c>
      <c r="I536" s="847">
        <f t="shared" ref="I536:L536" si="370">SUM(I537+I540+I543)</f>
        <v>1122640.5</v>
      </c>
      <c r="J536" s="847">
        <f t="shared" si="370"/>
        <v>149000</v>
      </c>
      <c r="K536" s="847">
        <f t="shared" si="370"/>
        <v>1122640.5</v>
      </c>
      <c r="L536" s="847">
        <f t="shared" si="370"/>
        <v>149000</v>
      </c>
      <c r="M536" s="848">
        <f>SUM(M537+M540+M543)</f>
        <v>954244.42500000005</v>
      </c>
      <c r="N536" s="768">
        <f t="shared" ref="N536:N552" si="371">AVERAGE(J536/H536*100)</f>
        <v>100</v>
      </c>
      <c r="O536" s="769">
        <f>AVERAGE(L536/J536*100)</f>
        <v>100</v>
      </c>
    </row>
    <row r="537" spans="1:15" s="117" customFormat="1" ht="15.6" x14ac:dyDescent="0.3">
      <c r="A537" s="800" t="s">
        <v>589</v>
      </c>
      <c r="B537" s="745"/>
      <c r="C537" s="746">
        <v>311</v>
      </c>
      <c r="D537" s="734" t="s">
        <v>183</v>
      </c>
      <c r="E537" s="728">
        <v>400000</v>
      </c>
      <c r="F537" s="728">
        <f t="shared" ref="F537:M537" si="372">F538</f>
        <v>300000</v>
      </c>
      <c r="G537" s="728">
        <f t="shared" si="372"/>
        <v>39816.842524387816</v>
      </c>
      <c r="H537" s="728">
        <f>SUM(H538+H539)</f>
        <v>120000</v>
      </c>
      <c r="I537" s="728">
        <f t="shared" ref="I537:L537" si="373">SUM(I538+I539)</f>
        <v>904140</v>
      </c>
      <c r="J537" s="728">
        <f t="shared" si="373"/>
        <v>120000</v>
      </c>
      <c r="K537" s="728">
        <f t="shared" si="373"/>
        <v>904140</v>
      </c>
      <c r="L537" s="728">
        <f t="shared" si="373"/>
        <v>120000</v>
      </c>
      <c r="M537" s="735">
        <f t="shared" si="372"/>
        <v>768519</v>
      </c>
      <c r="N537" s="768">
        <f t="shared" si="371"/>
        <v>100</v>
      </c>
      <c r="O537" s="769">
        <f t="shared" ref="O537:O552" si="374">AVERAGE(L537/J537*100)</f>
        <v>100</v>
      </c>
    </row>
    <row r="538" spans="1:15" s="29" customFormat="1" ht="13.8" hidden="1" x14ac:dyDescent="0.25">
      <c r="A538" s="800" t="s">
        <v>589</v>
      </c>
      <c r="B538" s="745"/>
      <c r="C538" s="746">
        <v>3111</v>
      </c>
      <c r="D538" s="734" t="s">
        <v>184</v>
      </c>
      <c r="E538" s="728">
        <v>400000</v>
      </c>
      <c r="F538" s="728">
        <v>300000</v>
      </c>
      <c r="G538" s="728">
        <f>F538/7.5345</f>
        <v>39816.842524387816</v>
      </c>
      <c r="H538" s="728">
        <v>102000</v>
      </c>
      <c r="I538" s="735">
        <f>H538*7.5345</f>
        <v>768519</v>
      </c>
      <c r="J538" s="728">
        <v>102000</v>
      </c>
      <c r="K538" s="735">
        <f>J538*7.5345</f>
        <v>768519</v>
      </c>
      <c r="L538" s="728">
        <v>102000</v>
      </c>
      <c r="M538" s="735">
        <f>L538*7.5345</f>
        <v>768519</v>
      </c>
      <c r="N538" s="768">
        <f t="shared" si="371"/>
        <v>100</v>
      </c>
      <c r="O538" s="769">
        <f t="shared" si="374"/>
        <v>100</v>
      </c>
    </row>
    <row r="539" spans="1:15" ht="13.8" hidden="1" x14ac:dyDescent="0.25">
      <c r="A539" s="800" t="s">
        <v>589</v>
      </c>
      <c r="B539" s="745"/>
      <c r="C539" s="746">
        <v>3111</v>
      </c>
      <c r="D539" s="734" t="s">
        <v>184</v>
      </c>
      <c r="E539" s="728">
        <v>400000</v>
      </c>
      <c r="F539" s="728">
        <v>300000</v>
      </c>
      <c r="G539" s="728">
        <f>F539/7.5345</f>
        <v>39816.842524387816</v>
      </c>
      <c r="H539" s="728">
        <v>18000</v>
      </c>
      <c r="I539" s="735">
        <f>H539*7.5345</f>
        <v>135621</v>
      </c>
      <c r="J539" s="728">
        <v>18000</v>
      </c>
      <c r="K539" s="735">
        <f>J539*7.5345</f>
        <v>135621</v>
      </c>
      <c r="L539" s="728">
        <v>18000</v>
      </c>
      <c r="M539" s="735">
        <f>L539*7.5345</f>
        <v>135621</v>
      </c>
      <c r="N539" s="768">
        <f t="shared" ref="N539:N542" si="375">AVERAGE(J539/H539*100)</f>
        <v>100</v>
      </c>
      <c r="O539" s="769">
        <f t="shared" ref="O539" si="376">AVERAGE(L539/J539*100)</f>
        <v>100</v>
      </c>
    </row>
    <row r="540" spans="1:15" ht="13.8" x14ac:dyDescent="0.25">
      <c r="A540" s="800" t="s">
        <v>589</v>
      </c>
      <c r="B540" s="745"/>
      <c r="C540" s="746">
        <v>312</v>
      </c>
      <c r="D540" s="734" t="s">
        <v>43</v>
      </c>
      <c r="E540" s="728">
        <v>14000</v>
      </c>
      <c r="F540" s="728">
        <f t="shared" ref="F540:M540" si="377">F541</f>
        <v>0</v>
      </c>
      <c r="G540" s="728">
        <f t="shared" si="377"/>
        <v>0</v>
      </c>
      <c r="H540" s="728">
        <f>SUM(H541+H542)</f>
        <v>9000</v>
      </c>
      <c r="I540" s="728">
        <f t="shared" ref="I540:L540" si="378">SUM(I541+I542)</f>
        <v>67810.5</v>
      </c>
      <c r="J540" s="728">
        <f t="shared" si="378"/>
        <v>9000</v>
      </c>
      <c r="K540" s="728">
        <f t="shared" si="378"/>
        <v>67810.5</v>
      </c>
      <c r="L540" s="728">
        <f t="shared" si="378"/>
        <v>9000</v>
      </c>
      <c r="M540" s="735">
        <f t="shared" si="377"/>
        <v>57638.925000000003</v>
      </c>
      <c r="N540" s="768">
        <f t="shared" si="375"/>
        <v>100</v>
      </c>
      <c r="O540" s="769">
        <f t="shared" si="374"/>
        <v>100</v>
      </c>
    </row>
    <row r="541" spans="1:15" ht="13.8" hidden="1" x14ac:dyDescent="0.25">
      <c r="A541" s="800" t="s">
        <v>589</v>
      </c>
      <c r="B541" s="745"/>
      <c r="C541" s="746">
        <v>3121</v>
      </c>
      <c r="D541" s="734" t="s">
        <v>43</v>
      </c>
      <c r="E541" s="728">
        <v>14000</v>
      </c>
      <c r="F541" s="728">
        <v>0</v>
      </c>
      <c r="G541" s="728">
        <f>F541/7.5345</f>
        <v>0</v>
      </c>
      <c r="H541" s="728">
        <v>7650</v>
      </c>
      <c r="I541" s="735">
        <f>H541*7.5345</f>
        <v>57638.925000000003</v>
      </c>
      <c r="J541" s="728">
        <v>7650</v>
      </c>
      <c r="K541" s="735">
        <f>J541*7.5345</f>
        <v>57638.925000000003</v>
      </c>
      <c r="L541" s="728">
        <v>7650</v>
      </c>
      <c r="M541" s="735">
        <f>L541*7.5345</f>
        <v>57638.925000000003</v>
      </c>
      <c r="N541" s="768">
        <f t="shared" si="375"/>
        <v>100</v>
      </c>
      <c r="O541" s="769">
        <f t="shared" si="374"/>
        <v>100</v>
      </c>
    </row>
    <row r="542" spans="1:15" ht="13.8" hidden="1" x14ac:dyDescent="0.25">
      <c r="A542" s="800" t="s">
        <v>589</v>
      </c>
      <c r="B542" s="745"/>
      <c r="C542" s="746">
        <v>3121</v>
      </c>
      <c r="D542" s="734" t="s">
        <v>43</v>
      </c>
      <c r="E542" s="728">
        <v>14000</v>
      </c>
      <c r="F542" s="728">
        <v>0</v>
      </c>
      <c r="G542" s="728">
        <f>F542/7.5345</f>
        <v>0</v>
      </c>
      <c r="H542" s="728">
        <v>1350</v>
      </c>
      <c r="I542" s="735">
        <f>H542*7.5345</f>
        <v>10171.575000000001</v>
      </c>
      <c r="J542" s="728">
        <v>1350</v>
      </c>
      <c r="K542" s="735">
        <f>J542*7.5345</f>
        <v>10171.575000000001</v>
      </c>
      <c r="L542" s="728">
        <v>1350</v>
      </c>
      <c r="M542" s="735">
        <f>L542*7.5345</f>
        <v>10171.575000000001</v>
      </c>
      <c r="N542" s="768">
        <f t="shared" si="375"/>
        <v>100</v>
      </c>
      <c r="O542" s="769">
        <f t="shared" ref="O542" si="379">AVERAGE(L542/J542*100)</f>
        <v>100</v>
      </c>
    </row>
    <row r="543" spans="1:15" ht="13.8" x14ac:dyDescent="0.25">
      <c r="A543" s="800" t="s">
        <v>589</v>
      </c>
      <c r="B543" s="745"/>
      <c r="C543" s="746">
        <v>313</v>
      </c>
      <c r="D543" s="734" t="s">
        <v>44</v>
      </c>
      <c r="E543" s="728">
        <v>68800</v>
      </c>
      <c r="F543" s="728">
        <f t="shared" ref="F543:M543" si="380">F544</f>
        <v>50000</v>
      </c>
      <c r="G543" s="728">
        <f t="shared" si="380"/>
        <v>6636.1404207313026</v>
      </c>
      <c r="H543" s="728">
        <f>SUM(H544+H545)</f>
        <v>20000</v>
      </c>
      <c r="I543" s="728">
        <f t="shared" ref="I543:L543" si="381">SUM(I544+I545)</f>
        <v>150690</v>
      </c>
      <c r="J543" s="728">
        <f t="shared" si="381"/>
        <v>20000</v>
      </c>
      <c r="K543" s="728">
        <f t="shared" si="381"/>
        <v>150690</v>
      </c>
      <c r="L543" s="728">
        <f t="shared" si="381"/>
        <v>20000</v>
      </c>
      <c r="M543" s="735">
        <f t="shared" si="380"/>
        <v>128086.5</v>
      </c>
      <c r="N543" s="768">
        <f t="shared" si="371"/>
        <v>100</v>
      </c>
      <c r="O543" s="769">
        <f t="shared" si="374"/>
        <v>100</v>
      </c>
    </row>
    <row r="544" spans="1:15" ht="13.8" hidden="1" x14ac:dyDescent="0.25">
      <c r="A544" s="800" t="s">
        <v>589</v>
      </c>
      <c r="B544" s="745"/>
      <c r="C544" s="746">
        <v>3132</v>
      </c>
      <c r="D544" s="734" t="s">
        <v>185</v>
      </c>
      <c r="E544" s="728">
        <v>62000</v>
      </c>
      <c r="F544" s="728">
        <v>50000</v>
      </c>
      <c r="G544" s="728">
        <f>F544/7.5345</f>
        <v>6636.1404207313026</v>
      </c>
      <c r="H544" s="728">
        <v>17000</v>
      </c>
      <c r="I544" s="735">
        <f>H544*7.5345</f>
        <v>128086.5</v>
      </c>
      <c r="J544" s="728">
        <v>17000</v>
      </c>
      <c r="K544" s="735">
        <f>J544*7.5345</f>
        <v>128086.5</v>
      </c>
      <c r="L544" s="728">
        <v>17000</v>
      </c>
      <c r="M544" s="735">
        <f>L544*7.5345</f>
        <v>128086.5</v>
      </c>
      <c r="N544" s="768">
        <f t="shared" si="371"/>
        <v>100</v>
      </c>
      <c r="O544" s="769">
        <f t="shared" si="374"/>
        <v>100</v>
      </c>
    </row>
    <row r="545" spans="1:15" s="29" customFormat="1" ht="13.8" hidden="1" x14ac:dyDescent="0.25">
      <c r="A545" s="800" t="s">
        <v>589</v>
      </c>
      <c r="B545" s="745"/>
      <c r="C545" s="746">
        <v>3132</v>
      </c>
      <c r="D545" s="734" t="s">
        <v>185</v>
      </c>
      <c r="E545" s="728">
        <v>62000</v>
      </c>
      <c r="F545" s="728">
        <v>50000</v>
      </c>
      <c r="G545" s="728">
        <f>F545/7.5345</f>
        <v>6636.1404207313026</v>
      </c>
      <c r="H545" s="728">
        <v>3000</v>
      </c>
      <c r="I545" s="735">
        <f>H545*7.5345</f>
        <v>22603.5</v>
      </c>
      <c r="J545" s="728">
        <v>3000</v>
      </c>
      <c r="K545" s="735">
        <f>J545*7.5345</f>
        <v>22603.5</v>
      </c>
      <c r="L545" s="728">
        <v>3000</v>
      </c>
      <c r="M545" s="735">
        <f>L545*7.5345</f>
        <v>22603.5</v>
      </c>
      <c r="N545" s="768">
        <f t="shared" ref="N545" si="382">AVERAGE(J545/H545*100)</f>
        <v>100</v>
      </c>
      <c r="O545" s="769">
        <f t="shared" ref="O545" si="383">AVERAGE(L545/J545*100)</f>
        <v>100</v>
      </c>
    </row>
    <row r="546" spans="1:15" ht="13.8" x14ac:dyDescent="0.25">
      <c r="A546" s="799" t="s">
        <v>589</v>
      </c>
      <c r="B546" s="740"/>
      <c r="C546" s="741">
        <v>32</v>
      </c>
      <c r="D546" s="742" t="s">
        <v>47</v>
      </c>
      <c r="E546" s="743">
        <v>41500</v>
      </c>
      <c r="F546" s="743">
        <f>F547+F550</f>
        <v>12000</v>
      </c>
      <c r="G546" s="743">
        <f>G547+G550</f>
        <v>1592.6737009755125</v>
      </c>
      <c r="H546" s="743">
        <f>H547+H550+H552</f>
        <v>9000</v>
      </c>
      <c r="I546" s="743">
        <f t="shared" ref="I546:L546" si="384">I547+I550+I552</f>
        <v>61029.450000000012</v>
      </c>
      <c r="J546" s="743">
        <f t="shared" si="384"/>
        <v>9000</v>
      </c>
      <c r="K546" s="743">
        <f t="shared" si="384"/>
        <v>61029.450000000012</v>
      </c>
      <c r="L546" s="743">
        <f t="shared" si="384"/>
        <v>9000</v>
      </c>
      <c r="M546" s="744">
        <f>M547+M550</f>
        <v>57638.925000000003</v>
      </c>
      <c r="N546" s="768">
        <f t="shared" si="371"/>
        <v>100</v>
      </c>
      <c r="O546" s="769">
        <f t="shared" si="374"/>
        <v>100</v>
      </c>
    </row>
    <row r="547" spans="1:15" ht="13.8" x14ac:dyDescent="0.25">
      <c r="A547" s="800" t="s">
        <v>589</v>
      </c>
      <c r="B547" s="745"/>
      <c r="C547" s="746">
        <v>321</v>
      </c>
      <c r="D547" s="734" t="s">
        <v>48</v>
      </c>
      <c r="E547" s="728">
        <f>SUM(E548:E552)</f>
        <v>68000</v>
      </c>
      <c r="F547" s="728">
        <f t="shared" ref="F547:M547" si="385">SUM(F548)</f>
        <v>10000</v>
      </c>
      <c r="G547" s="728">
        <f t="shared" si="385"/>
        <v>1327.2280841462605</v>
      </c>
      <c r="H547" s="728">
        <f>SUM(H548+H549)</f>
        <v>3000</v>
      </c>
      <c r="I547" s="728">
        <f t="shared" ref="I547:L547" si="386">SUM(I548+I549)</f>
        <v>22603.500000000004</v>
      </c>
      <c r="J547" s="728">
        <f t="shared" si="386"/>
        <v>3000</v>
      </c>
      <c r="K547" s="728">
        <f t="shared" si="386"/>
        <v>22603.500000000004</v>
      </c>
      <c r="L547" s="728">
        <f t="shared" si="386"/>
        <v>3000</v>
      </c>
      <c r="M547" s="735">
        <f t="shared" si="385"/>
        <v>19212.975000000002</v>
      </c>
      <c r="N547" s="768">
        <f t="shared" si="371"/>
        <v>100</v>
      </c>
      <c r="O547" s="769">
        <f t="shared" si="374"/>
        <v>100</v>
      </c>
    </row>
    <row r="548" spans="1:15" ht="13.8" hidden="1" x14ac:dyDescent="0.25">
      <c r="A548" s="800" t="s">
        <v>589</v>
      </c>
      <c r="B548" s="745"/>
      <c r="C548" s="746">
        <v>3214</v>
      </c>
      <c r="D548" s="734" t="s">
        <v>187</v>
      </c>
      <c r="E548" s="728">
        <v>18000</v>
      </c>
      <c r="F548" s="728">
        <v>10000</v>
      </c>
      <c r="G548" s="728">
        <f>F548/7.5345</f>
        <v>1327.2280841462605</v>
      </c>
      <c r="H548" s="728">
        <v>2550</v>
      </c>
      <c r="I548" s="735">
        <f>H548*7.5345</f>
        <v>19212.975000000002</v>
      </c>
      <c r="J548" s="728">
        <v>2550</v>
      </c>
      <c r="K548" s="735">
        <f>J548*7.5345</f>
        <v>19212.975000000002</v>
      </c>
      <c r="L548" s="728">
        <v>2550</v>
      </c>
      <c r="M548" s="735">
        <f>L548*7.5345</f>
        <v>19212.975000000002</v>
      </c>
      <c r="N548" s="768">
        <f t="shared" si="371"/>
        <v>100</v>
      </c>
      <c r="O548" s="769">
        <f t="shared" si="374"/>
        <v>100</v>
      </c>
    </row>
    <row r="549" spans="1:15" ht="13.8" hidden="1" x14ac:dyDescent="0.25">
      <c r="A549" s="800" t="s">
        <v>589</v>
      </c>
      <c r="B549" s="745"/>
      <c r="C549" s="746">
        <v>3214</v>
      </c>
      <c r="D549" s="734" t="s">
        <v>187</v>
      </c>
      <c r="E549" s="728">
        <v>18000</v>
      </c>
      <c r="F549" s="728">
        <v>10000</v>
      </c>
      <c r="G549" s="728">
        <f>F549/7.5345</f>
        <v>1327.2280841462605</v>
      </c>
      <c r="H549" s="728">
        <v>450</v>
      </c>
      <c r="I549" s="735">
        <f>H549*7.5345</f>
        <v>3390.5250000000001</v>
      </c>
      <c r="J549" s="728">
        <v>450</v>
      </c>
      <c r="K549" s="735">
        <f>J549*7.5345</f>
        <v>3390.5250000000001</v>
      </c>
      <c r="L549" s="728">
        <v>450</v>
      </c>
      <c r="M549" s="735">
        <f>L549*7.5345</f>
        <v>3390.5250000000001</v>
      </c>
      <c r="N549" s="768">
        <f t="shared" ref="N549" si="387">AVERAGE(J549/H549*100)</f>
        <v>100</v>
      </c>
      <c r="O549" s="769">
        <f t="shared" ref="O549" si="388">AVERAGE(L549/J549*100)</f>
        <v>100</v>
      </c>
    </row>
    <row r="550" spans="1:15" ht="14.4" thickBot="1" x14ac:dyDescent="0.3">
      <c r="A550" s="800" t="s">
        <v>589</v>
      </c>
      <c r="B550" s="745"/>
      <c r="C550" s="746">
        <v>322</v>
      </c>
      <c r="D550" s="734" t="s">
        <v>52</v>
      </c>
      <c r="E550" s="728">
        <f>SUM(E551:E552)</f>
        <v>16000</v>
      </c>
      <c r="F550" s="728">
        <f t="shared" ref="F550:M550" si="389">SUM(F551)</f>
        <v>2000</v>
      </c>
      <c r="G550" s="728">
        <f t="shared" si="389"/>
        <v>265.44561682925212</v>
      </c>
      <c r="H550" s="728">
        <v>5100</v>
      </c>
      <c r="I550" s="728">
        <f t="shared" si="389"/>
        <v>38425.950000000004</v>
      </c>
      <c r="J550" s="728">
        <v>5100</v>
      </c>
      <c r="K550" s="728">
        <f t="shared" si="389"/>
        <v>38425.950000000004</v>
      </c>
      <c r="L550" s="728">
        <v>5100</v>
      </c>
      <c r="M550" s="735">
        <f t="shared" si="389"/>
        <v>38425.950000000004</v>
      </c>
      <c r="N550" s="768">
        <f t="shared" si="371"/>
        <v>100</v>
      </c>
      <c r="O550" s="769">
        <f t="shared" si="374"/>
        <v>100</v>
      </c>
    </row>
    <row r="551" spans="1:15" ht="13.8" hidden="1" x14ac:dyDescent="0.25">
      <c r="A551" s="849" t="s">
        <v>589</v>
      </c>
      <c r="B551" s="748"/>
      <c r="C551" s="749">
        <v>3221</v>
      </c>
      <c r="D551" s="750" t="s">
        <v>53</v>
      </c>
      <c r="E551" s="751">
        <v>16000</v>
      </c>
      <c r="F551" s="751">
        <v>2000</v>
      </c>
      <c r="G551" s="751">
        <f>F551/7.5345</f>
        <v>265.44561682925212</v>
      </c>
      <c r="H551" s="751">
        <v>5100</v>
      </c>
      <c r="I551" s="752">
        <f>H551*7.5345</f>
        <v>38425.950000000004</v>
      </c>
      <c r="J551" s="751">
        <v>5100</v>
      </c>
      <c r="K551" s="752">
        <f>J551*7.5345</f>
        <v>38425.950000000004</v>
      </c>
      <c r="L551" s="751">
        <v>5100</v>
      </c>
      <c r="M551" s="752">
        <f>L551*7.5345</f>
        <v>38425.950000000004</v>
      </c>
      <c r="N551" s="736">
        <f t="shared" si="371"/>
        <v>100</v>
      </c>
      <c r="O551" s="763">
        <f t="shared" si="374"/>
        <v>100</v>
      </c>
    </row>
    <row r="552" spans="1:15" ht="14.4" hidden="1" thickBot="1" x14ac:dyDescent="0.3">
      <c r="A552" s="801" t="s">
        <v>589</v>
      </c>
      <c r="B552" s="754"/>
      <c r="C552" s="755">
        <v>3221</v>
      </c>
      <c r="D552" s="756" t="s">
        <v>53</v>
      </c>
      <c r="E552" s="757"/>
      <c r="F552" s="757"/>
      <c r="G552" s="757"/>
      <c r="H552" s="757">
        <v>900</v>
      </c>
      <c r="I552" s="758"/>
      <c r="J552" s="757">
        <v>900</v>
      </c>
      <c r="K552" s="758"/>
      <c r="L552" s="757">
        <v>900</v>
      </c>
      <c r="M552" s="758"/>
      <c r="N552" s="759">
        <f t="shared" si="371"/>
        <v>100</v>
      </c>
      <c r="O552" s="759">
        <f t="shared" si="374"/>
        <v>100</v>
      </c>
    </row>
    <row r="553" spans="1:15" ht="14.4" thickTop="1" x14ac:dyDescent="0.25">
      <c r="A553" s="771"/>
      <c r="B553" s="798"/>
      <c r="C553" s="773"/>
      <c r="D553" s="787" t="s">
        <v>178</v>
      </c>
      <c r="E553" s="838"/>
      <c r="F553" s="761"/>
      <c r="G553" s="761"/>
      <c r="H553" s="730"/>
      <c r="I553" s="761"/>
      <c r="J553" s="730"/>
      <c r="K553" s="761"/>
      <c r="L553" s="730"/>
      <c r="M553" s="761"/>
      <c r="N553" s="946">
        <f>AVERAGE(J555/H555*100)</f>
        <v>89.285714285714292</v>
      </c>
      <c r="O553" s="991">
        <f>AVERAGE(L555/J555*100)</f>
        <v>112.00000000000001</v>
      </c>
    </row>
    <row r="554" spans="1:15" ht="13.8" x14ac:dyDescent="0.25">
      <c r="A554" s="771"/>
      <c r="B554" s="798"/>
      <c r="C554" s="773"/>
      <c r="D554" s="787" t="s">
        <v>536</v>
      </c>
      <c r="E554" s="839"/>
      <c r="F554" s="730"/>
      <c r="G554" s="730"/>
      <c r="H554" s="730"/>
      <c r="I554" s="761"/>
      <c r="J554" s="730"/>
      <c r="K554" s="761"/>
      <c r="L554" s="730"/>
      <c r="M554" s="761"/>
      <c r="N554" s="947"/>
      <c r="O554" s="992"/>
    </row>
    <row r="555" spans="1:15" ht="15.6" x14ac:dyDescent="0.3">
      <c r="A555" s="840"/>
      <c r="B555" s="850"/>
      <c r="C555" s="841"/>
      <c r="D555" s="842" t="s">
        <v>604</v>
      </c>
      <c r="E555" s="843" t="e">
        <f>SUM(#REF!+E585)</f>
        <v>#REF!</v>
      </c>
      <c r="F555" s="712">
        <f t="shared" ref="F555:M555" si="390">SUM(F556)</f>
        <v>1000</v>
      </c>
      <c r="G555" s="712">
        <f t="shared" si="390"/>
        <v>132.72280841462606</v>
      </c>
      <c r="H555" s="712">
        <f t="shared" si="390"/>
        <v>14000</v>
      </c>
      <c r="I555" s="712">
        <f t="shared" si="390"/>
        <v>51905.25</v>
      </c>
      <c r="J555" s="712">
        <f t="shared" si="390"/>
        <v>12500</v>
      </c>
      <c r="K555" s="712">
        <f t="shared" si="390"/>
        <v>40603.5</v>
      </c>
      <c r="L555" s="712">
        <f t="shared" si="390"/>
        <v>14000</v>
      </c>
      <c r="M555" s="779">
        <f t="shared" si="390"/>
        <v>30514.725000000002</v>
      </c>
      <c r="N555" s="947"/>
      <c r="O555" s="989"/>
    </row>
    <row r="556" spans="1:15" ht="13.8" x14ac:dyDescent="0.25">
      <c r="A556" s="799" t="s">
        <v>590</v>
      </c>
      <c r="B556" s="740"/>
      <c r="C556" s="741">
        <v>32</v>
      </c>
      <c r="D556" s="742" t="s">
        <v>47</v>
      </c>
      <c r="E556" s="743">
        <v>41500</v>
      </c>
      <c r="F556" s="743">
        <f t="shared" ref="F556:M556" si="391">F557+F562</f>
        <v>1000</v>
      </c>
      <c r="G556" s="743">
        <f t="shared" si="391"/>
        <v>132.72280841462606</v>
      </c>
      <c r="H556" s="743">
        <f t="shared" si="391"/>
        <v>14000</v>
      </c>
      <c r="I556" s="743">
        <f t="shared" si="391"/>
        <v>51905.25</v>
      </c>
      <c r="J556" s="743">
        <f t="shared" si="391"/>
        <v>12500</v>
      </c>
      <c r="K556" s="743">
        <f t="shared" si="391"/>
        <v>40603.5</v>
      </c>
      <c r="L556" s="743">
        <f t="shared" si="391"/>
        <v>14000</v>
      </c>
      <c r="M556" s="744">
        <f t="shared" si="391"/>
        <v>30514.725000000002</v>
      </c>
      <c r="N556" s="768">
        <f t="shared" ref="N556:N558" si="392">AVERAGE(J556/H556*100)</f>
        <v>89.285714285714292</v>
      </c>
      <c r="O556" s="769">
        <f>AVERAGE(L556/J556*100)</f>
        <v>112.00000000000001</v>
      </c>
    </row>
    <row r="557" spans="1:15" ht="13.8" x14ac:dyDescent="0.25">
      <c r="A557" s="800" t="s">
        <v>590</v>
      </c>
      <c r="B557" s="745"/>
      <c r="C557" s="746">
        <v>323</v>
      </c>
      <c r="D557" s="734" t="s">
        <v>56</v>
      </c>
      <c r="E557" s="728" t="e">
        <f>SUM(E558:E587)</f>
        <v>#REF!</v>
      </c>
      <c r="F557" s="728">
        <f t="shared" ref="F557:M557" si="393">SUM(F558)</f>
        <v>1000</v>
      </c>
      <c r="G557" s="728">
        <f t="shared" si="393"/>
        <v>132.72280841462606</v>
      </c>
      <c r="H557" s="728">
        <f>SUM(H558+H559+H560+H561)</f>
        <v>12500</v>
      </c>
      <c r="I557" s="728">
        <f t="shared" ref="I557:L557" si="394">SUM(I558+I559+I560+I561)</f>
        <v>40603.5</v>
      </c>
      <c r="J557" s="728">
        <f t="shared" si="394"/>
        <v>12500</v>
      </c>
      <c r="K557" s="728">
        <f t="shared" si="394"/>
        <v>40603.5</v>
      </c>
      <c r="L557" s="728">
        <f t="shared" si="394"/>
        <v>12500</v>
      </c>
      <c r="M557" s="735">
        <f t="shared" si="393"/>
        <v>19212.975000000002</v>
      </c>
      <c r="N557" s="768">
        <f t="shared" si="392"/>
        <v>100</v>
      </c>
      <c r="O557" s="769">
        <f t="shared" ref="O557:O558" si="395">AVERAGE(L557/J557*100)</f>
        <v>100</v>
      </c>
    </row>
    <row r="558" spans="1:15" ht="13.8" hidden="1" x14ac:dyDescent="0.25">
      <c r="A558" s="800" t="s">
        <v>590</v>
      </c>
      <c r="B558" s="745"/>
      <c r="C558" s="746">
        <v>3233</v>
      </c>
      <c r="D558" s="734" t="s">
        <v>59</v>
      </c>
      <c r="E558" s="728">
        <v>25000</v>
      </c>
      <c r="F558" s="728">
        <v>1000</v>
      </c>
      <c r="G558" s="728">
        <f>F558/7.5345</f>
        <v>132.72280841462606</v>
      </c>
      <c r="H558" s="728">
        <v>2550</v>
      </c>
      <c r="I558" s="735">
        <f>H558*7.5345</f>
        <v>19212.975000000002</v>
      </c>
      <c r="J558" s="728">
        <v>2550</v>
      </c>
      <c r="K558" s="735">
        <f>J558*7.5345</f>
        <v>19212.975000000002</v>
      </c>
      <c r="L558" s="728">
        <v>2550</v>
      </c>
      <c r="M558" s="735">
        <f>L558*7.5345</f>
        <v>19212.975000000002</v>
      </c>
      <c r="N558" s="768">
        <f t="shared" si="392"/>
        <v>100</v>
      </c>
      <c r="O558" s="769">
        <f t="shared" si="395"/>
        <v>100</v>
      </c>
    </row>
    <row r="559" spans="1:15" ht="13.8" hidden="1" x14ac:dyDescent="0.25">
      <c r="A559" s="800" t="s">
        <v>590</v>
      </c>
      <c r="B559" s="745"/>
      <c r="C559" s="746">
        <v>3233</v>
      </c>
      <c r="D559" s="734" t="s">
        <v>59</v>
      </c>
      <c r="E559" s="728">
        <v>25000</v>
      </c>
      <c r="F559" s="728">
        <v>1000</v>
      </c>
      <c r="G559" s="728">
        <f>F559/7.5345</f>
        <v>132.72280841462606</v>
      </c>
      <c r="H559" s="728">
        <v>450</v>
      </c>
      <c r="I559" s="735">
        <f>H559*7.5345</f>
        <v>3390.5250000000001</v>
      </c>
      <c r="J559" s="728">
        <v>450</v>
      </c>
      <c r="K559" s="735">
        <f>J559*7.5345</f>
        <v>3390.5250000000001</v>
      </c>
      <c r="L559" s="728">
        <v>450</v>
      </c>
      <c r="M559" s="735">
        <f>L559*7.5345</f>
        <v>3390.5250000000001</v>
      </c>
      <c r="N559" s="768">
        <f t="shared" ref="N559:N563" si="396">AVERAGE(J559/H559*100)</f>
        <v>100</v>
      </c>
      <c r="O559" s="769">
        <f t="shared" ref="O559:O563" si="397">AVERAGE(L559/J559*100)</f>
        <v>100</v>
      </c>
    </row>
    <row r="560" spans="1:15" ht="13.8" hidden="1" x14ac:dyDescent="0.25">
      <c r="A560" s="737" t="s">
        <v>590</v>
      </c>
      <c r="B560" s="745"/>
      <c r="C560" s="746">
        <v>3237</v>
      </c>
      <c r="D560" s="734" t="s">
        <v>62</v>
      </c>
      <c r="E560" s="730"/>
      <c r="F560" s="730"/>
      <c r="G560" s="730"/>
      <c r="H560" s="728">
        <v>8075</v>
      </c>
      <c r="I560" s="728">
        <v>9000</v>
      </c>
      <c r="J560" s="728">
        <v>8075</v>
      </c>
      <c r="K560" s="728">
        <v>9000</v>
      </c>
      <c r="L560" s="728">
        <v>8075</v>
      </c>
      <c r="M560" s="761"/>
      <c r="N560" s="768">
        <f t="shared" si="396"/>
        <v>100</v>
      </c>
      <c r="O560" s="769">
        <f t="shared" si="397"/>
        <v>100</v>
      </c>
    </row>
    <row r="561" spans="1:15" ht="13.8" hidden="1" x14ac:dyDescent="0.25">
      <c r="A561" s="737" t="s">
        <v>590</v>
      </c>
      <c r="B561" s="745"/>
      <c r="C561" s="746">
        <v>3237</v>
      </c>
      <c r="D561" s="734" t="s">
        <v>62</v>
      </c>
      <c r="E561" s="730"/>
      <c r="F561" s="730"/>
      <c r="G561" s="730"/>
      <c r="H561" s="730">
        <v>1425</v>
      </c>
      <c r="I561" s="730">
        <v>9000</v>
      </c>
      <c r="J561" s="730">
        <v>1425</v>
      </c>
      <c r="K561" s="730">
        <v>9000</v>
      </c>
      <c r="L561" s="730">
        <v>1425</v>
      </c>
      <c r="M561" s="761"/>
      <c r="N561" s="768">
        <f t="shared" si="396"/>
        <v>100</v>
      </c>
      <c r="O561" s="769">
        <f t="shared" si="397"/>
        <v>100</v>
      </c>
    </row>
    <row r="562" spans="1:15" ht="14.4" thickBot="1" x14ac:dyDescent="0.3">
      <c r="A562" s="800" t="s">
        <v>590</v>
      </c>
      <c r="B562" s="745"/>
      <c r="C562" s="746">
        <v>329</v>
      </c>
      <c r="D562" s="734" t="s">
        <v>65</v>
      </c>
      <c r="E562" s="728">
        <f t="shared" ref="E562:M562" si="398">SUM(E563:E563)</f>
        <v>10000</v>
      </c>
      <c r="F562" s="728">
        <f t="shared" si="398"/>
        <v>0</v>
      </c>
      <c r="G562" s="728">
        <f t="shared" si="398"/>
        <v>0</v>
      </c>
      <c r="H562" s="728">
        <f>SUM(H563)</f>
        <v>1500</v>
      </c>
      <c r="I562" s="728">
        <f t="shared" ref="I562:L562" si="399">SUM(I563)</f>
        <v>11301.75</v>
      </c>
      <c r="J562" s="728">
        <f t="shared" si="399"/>
        <v>0</v>
      </c>
      <c r="K562" s="728">
        <f t="shared" si="399"/>
        <v>0</v>
      </c>
      <c r="L562" s="728">
        <f t="shared" si="399"/>
        <v>1500</v>
      </c>
      <c r="M562" s="735">
        <f t="shared" si="398"/>
        <v>11301.75</v>
      </c>
      <c r="N562" s="768">
        <f t="shared" si="396"/>
        <v>0</v>
      </c>
      <c r="O562" s="769" t="e">
        <f t="shared" si="397"/>
        <v>#DIV/0!</v>
      </c>
    </row>
    <row r="563" spans="1:15" ht="14.4" hidden="1" thickBot="1" x14ac:dyDescent="0.3">
      <c r="A563" s="800" t="s">
        <v>590</v>
      </c>
      <c r="B563" s="745"/>
      <c r="C563" s="746">
        <v>3293</v>
      </c>
      <c r="D563" s="734" t="s">
        <v>68</v>
      </c>
      <c r="E563" s="728">
        <v>10000</v>
      </c>
      <c r="F563" s="728">
        <v>0</v>
      </c>
      <c r="G563" s="728">
        <f>F563/7.5345</f>
        <v>0</v>
      </c>
      <c r="H563" s="728">
        <v>1500</v>
      </c>
      <c r="I563" s="735">
        <f>H563*7.5345</f>
        <v>11301.75</v>
      </c>
      <c r="J563" s="728">
        <v>0</v>
      </c>
      <c r="K563" s="735">
        <f>J563*7.5345</f>
        <v>0</v>
      </c>
      <c r="L563" s="728">
        <v>1500</v>
      </c>
      <c r="M563" s="735">
        <f>L563*7.5345</f>
        <v>11301.75</v>
      </c>
      <c r="N563" s="768">
        <f t="shared" si="396"/>
        <v>0</v>
      </c>
      <c r="O563" s="769" t="e">
        <f t="shared" si="397"/>
        <v>#DIV/0!</v>
      </c>
    </row>
    <row r="564" spans="1:15" ht="18" thickBot="1" x14ac:dyDescent="0.35">
      <c r="A564" s="999" t="s">
        <v>656</v>
      </c>
      <c r="B564" s="1000"/>
      <c r="C564" s="1000"/>
      <c r="D564" s="1001"/>
      <c r="E564" s="446" t="e">
        <f>SUM(E567+#REF!+E643+E653+E659+E665)</f>
        <v>#REF!</v>
      </c>
      <c r="F564" s="446">
        <f t="shared" ref="F564:I564" si="400">SUM(F567)</f>
        <v>78300</v>
      </c>
      <c r="G564" s="593">
        <f t="shared" si="400"/>
        <v>10392.195898865219</v>
      </c>
      <c r="H564" s="593">
        <f t="shared" si="400"/>
        <v>13000</v>
      </c>
      <c r="I564" s="598">
        <f t="shared" si="400"/>
        <v>97948.5</v>
      </c>
      <c r="J564" s="593">
        <f t="shared" ref="J564:L564" si="401">SUM(J567)</f>
        <v>13000</v>
      </c>
      <c r="K564" s="598">
        <f t="shared" ref="K564:M564" si="402">SUM(K567)</f>
        <v>97948.5</v>
      </c>
      <c r="L564" s="593">
        <f t="shared" si="401"/>
        <v>13000</v>
      </c>
      <c r="M564" s="598">
        <f t="shared" si="402"/>
        <v>78358.8</v>
      </c>
      <c r="N564" s="600">
        <f>AVERAGE(J564/H564*100)</f>
        <v>100</v>
      </c>
      <c r="O564" s="601">
        <f>AVERAGE(L564/J564*100)</f>
        <v>100</v>
      </c>
    </row>
    <row r="565" spans="1:15" ht="13.8" x14ac:dyDescent="0.25">
      <c r="A565" s="426"/>
      <c r="B565" s="42"/>
      <c r="C565" s="42"/>
      <c r="D565" s="420" t="s">
        <v>178</v>
      </c>
      <c r="E565" s="410"/>
      <c r="F565" s="396"/>
      <c r="G565" s="396"/>
      <c r="H565" s="396"/>
      <c r="I565" s="577"/>
      <c r="J565" s="396"/>
      <c r="K565" s="577"/>
      <c r="L565" s="396"/>
      <c r="M565" s="577"/>
      <c r="N565" s="942">
        <f>AVERAGE(J567/H567*100)</f>
        <v>100</v>
      </c>
      <c r="O565" s="974">
        <f>AVERAGE(L567/J567*100)</f>
        <v>100</v>
      </c>
    </row>
    <row r="566" spans="1:15" ht="13.8" x14ac:dyDescent="0.25">
      <c r="A566" s="426"/>
      <c r="B566" s="42"/>
      <c r="C566" s="42"/>
      <c r="D566" s="420" t="s">
        <v>692</v>
      </c>
      <c r="E566" s="403"/>
      <c r="F566" s="396"/>
      <c r="G566" s="396"/>
      <c r="H566" s="396"/>
      <c r="I566" s="577"/>
      <c r="J566" s="396"/>
      <c r="K566" s="577"/>
      <c r="L566" s="396"/>
      <c r="M566" s="577"/>
      <c r="N566" s="943"/>
      <c r="O566" s="974"/>
    </row>
    <row r="567" spans="1:15" ht="15.6" x14ac:dyDescent="0.3">
      <c r="A567" s="453"/>
      <c r="B567" s="454"/>
      <c r="C567" s="454"/>
      <c r="D567" s="455" t="s">
        <v>489</v>
      </c>
      <c r="E567" s="456">
        <f t="shared" ref="E567:M567" si="403">SUM(E568+E577)</f>
        <v>524300</v>
      </c>
      <c r="F567" s="457">
        <f t="shared" si="403"/>
        <v>78300</v>
      </c>
      <c r="G567" s="457">
        <f t="shared" si="403"/>
        <v>10392.195898865219</v>
      </c>
      <c r="H567" s="457">
        <f t="shared" si="403"/>
        <v>13000</v>
      </c>
      <c r="I567" s="457">
        <f t="shared" si="403"/>
        <v>97948.5</v>
      </c>
      <c r="J567" s="457">
        <f t="shared" si="403"/>
        <v>13000</v>
      </c>
      <c r="K567" s="457">
        <f t="shared" si="403"/>
        <v>97948.5</v>
      </c>
      <c r="L567" s="457">
        <f t="shared" si="403"/>
        <v>13000</v>
      </c>
      <c r="M567" s="578">
        <f t="shared" si="403"/>
        <v>78358.8</v>
      </c>
      <c r="N567" s="943"/>
      <c r="O567" s="949"/>
    </row>
    <row r="568" spans="1:15" ht="13.8" x14ac:dyDescent="0.25">
      <c r="A568" s="382" t="s">
        <v>591</v>
      </c>
      <c r="B568" s="487"/>
      <c r="C568" s="416">
        <v>31</v>
      </c>
      <c r="D568" s="393" t="s">
        <v>41</v>
      </c>
      <c r="E568" s="405">
        <f>SUM(E569+E572+E574)</f>
        <v>482800</v>
      </c>
      <c r="F568" s="405">
        <f>SUM(F569+F574)</f>
        <v>73300</v>
      </c>
      <c r="G568" s="405">
        <f>SUM(G569+G574)</f>
        <v>9728.5818567920887</v>
      </c>
      <c r="H568" s="405">
        <f>SUM(H569+H574)</f>
        <v>12000</v>
      </c>
      <c r="I568" s="405">
        <f t="shared" ref="I568:L568" si="404">SUM(I569+I574)</f>
        <v>90414</v>
      </c>
      <c r="J568" s="405">
        <f t="shared" si="404"/>
        <v>12000</v>
      </c>
      <c r="K568" s="405">
        <f t="shared" si="404"/>
        <v>90414</v>
      </c>
      <c r="L568" s="405">
        <f t="shared" si="404"/>
        <v>12000</v>
      </c>
      <c r="M568" s="579">
        <f>SUM(M569+M574)</f>
        <v>72331.199999999997</v>
      </c>
      <c r="N568" s="409">
        <f t="shared" ref="N568:N579" si="405">AVERAGE(J568/H568*100)</f>
        <v>100</v>
      </c>
      <c r="O568" s="427">
        <f>AVERAGE(L568/J568*100)</f>
        <v>100</v>
      </c>
    </row>
    <row r="569" spans="1:15" ht="13.8" x14ac:dyDescent="0.25">
      <c r="A569" s="379" t="s">
        <v>591</v>
      </c>
      <c r="B569" s="488"/>
      <c r="C569" s="391">
        <v>311</v>
      </c>
      <c r="D569" s="392" t="s">
        <v>183</v>
      </c>
      <c r="E569" s="387">
        <v>400000</v>
      </c>
      <c r="F569" s="387">
        <f t="shared" ref="F569:M569" si="406">F570</f>
        <v>63300</v>
      </c>
      <c r="G569" s="387">
        <f t="shared" si="406"/>
        <v>8401.3537726458289</v>
      </c>
      <c r="H569" s="387">
        <f>SUM(H570+H571)</f>
        <v>10000</v>
      </c>
      <c r="I569" s="387">
        <f t="shared" ref="I569:L569" si="407">SUM(I570+I571)</f>
        <v>75345</v>
      </c>
      <c r="J569" s="387">
        <f t="shared" si="407"/>
        <v>10000</v>
      </c>
      <c r="K569" s="387">
        <f t="shared" si="407"/>
        <v>75345</v>
      </c>
      <c r="L569" s="387">
        <f t="shared" si="407"/>
        <v>10000</v>
      </c>
      <c r="M569" s="580">
        <f t="shared" si="406"/>
        <v>60276</v>
      </c>
      <c r="N569" s="409">
        <f t="shared" si="405"/>
        <v>100</v>
      </c>
      <c r="O569" s="427">
        <f t="shared" ref="O569:O579" si="408">AVERAGE(L569/J569*100)</f>
        <v>100</v>
      </c>
    </row>
    <row r="570" spans="1:15" ht="13.8" hidden="1" x14ac:dyDescent="0.25">
      <c r="A570" s="379" t="s">
        <v>591</v>
      </c>
      <c r="B570" s="488"/>
      <c r="C570" s="391">
        <v>3111</v>
      </c>
      <c r="D570" s="392" t="s">
        <v>184</v>
      </c>
      <c r="E570" s="387">
        <v>400000</v>
      </c>
      <c r="F570" s="387">
        <v>63300</v>
      </c>
      <c r="G570" s="387">
        <f>F570/7.5345</f>
        <v>8401.3537726458289</v>
      </c>
      <c r="H570" s="387">
        <v>8000</v>
      </c>
      <c r="I570" s="580">
        <f>H570*7.5345</f>
        <v>60276</v>
      </c>
      <c r="J570" s="387">
        <v>8000</v>
      </c>
      <c r="K570" s="580">
        <f>J570*7.5345</f>
        <v>60276</v>
      </c>
      <c r="L570" s="387">
        <v>8000</v>
      </c>
      <c r="M570" s="580">
        <f>L570*7.5345</f>
        <v>60276</v>
      </c>
      <c r="N570" s="409">
        <f t="shared" si="405"/>
        <v>100</v>
      </c>
      <c r="O570" s="427">
        <f t="shared" si="408"/>
        <v>100</v>
      </c>
    </row>
    <row r="571" spans="1:15" ht="13.8" hidden="1" x14ac:dyDescent="0.25">
      <c r="A571" s="379" t="s">
        <v>591</v>
      </c>
      <c r="B571" s="488"/>
      <c r="C571" s="391">
        <v>3111</v>
      </c>
      <c r="D571" s="392" t="s">
        <v>184</v>
      </c>
      <c r="E571" s="387">
        <v>400000</v>
      </c>
      <c r="F571" s="387">
        <v>63300</v>
      </c>
      <c r="G571" s="387">
        <f>F571/7.5345</f>
        <v>8401.3537726458289</v>
      </c>
      <c r="H571" s="387">
        <v>2000</v>
      </c>
      <c r="I571" s="580">
        <f>H571*7.5345</f>
        <v>15069</v>
      </c>
      <c r="J571" s="387">
        <v>2000</v>
      </c>
      <c r="K571" s="580">
        <f>J571*7.5345</f>
        <v>15069</v>
      </c>
      <c r="L571" s="387">
        <v>2000</v>
      </c>
      <c r="M571" s="580">
        <f>L571*7.5345</f>
        <v>15069</v>
      </c>
      <c r="N571" s="409">
        <f t="shared" ref="N571:N575" si="409">AVERAGE(J571/H571*100)</f>
        <v>100</v>
      </c>
      <c r="O571" s="427">
        <f t="shared" ref="O571" si="410">AVERAGE(L571/J571*100)</f>
        <v>100</v>
      </c>
    </row>
    <row r="572" spans="1:15" ht="13.8" x14ac:dyDescent="0.25">
      <c r="A572" s="379" t="s">
        <v>490</v>
      </c>
      <c r="B572" s="488"/>
      <c r="C572" s="391">
        <v>312</v>
      </c>
      <c r="D572" s="392" t="s">
        <v>43</v>
      </c>
      <c r="E572" s="387">
        <v>14000</v>
      </c>
      <c r="F572" s="387">
        <f t="shared" ref="F572:M572" si="411">F573</f>
        <v>0</v>
      </c>
      <c r="G572" s="387">
        <f t="shared" si="411"/>
        <v>0</v>
      </c>
      <c r="H572" s="387">
        <f t="shared" si="411"/>
        <v>0</v>
      </c>
      <c r="I572" s="580">
        <f t="shared" si="411"/>
        <v>0</v>
      </c>
      <c r="J572" s="387">
        <f t="shared" si="411"/>
        <v>0</v>
      </c>
      <c r="K572" s="580">
        <f t="shared" si="411"/>
        <v>0</v>
      </c>
      <c r="L572" s="387">
        <f t="shared" si="411"/>
        <v>0</v>
      </c>
      <c r="M572" s="580">
        <f t="shared" si="411"/>
        <v>0</v>
      </c>
      <c r="N572" s="409" t="e">
        <f t="shared" si="409"/>
        <v>#DIV/0!</v>
      </c>
      <c r="O572" s="427" t="e">
        <f t="shared" si="408"/>
        <v>#DIV/0!</v>
      </c>
    </row>
    <row r="573" spans="1:15" ht="13.8" hidden="1" x14ac:dyDescent="0.25">
      <c r="A573" s="379" t="s">
        <v>490</v>
      </c>
      <c r="B573" s="488"/>
      <c r="C573" s="391">
        <v>3121</v>
      </c>
      <c r="D573" s="392" t="s">
        <v>43</v>
      </c>
      <c r="E573" s="387">
        <v>14000</v>
      </c>
      <c r="F573" s="387">
        <v>0</v>
      </c>
      <c r="G573" s="387">
        <v>0</v>
      </c>
      <c r="H573" s="387">
        <v>0</v>
      </c>
      <c r="I573" s="580">
        <v>0</v>
      </c>
      <c r="J573" s="387">
        <v>0</v>
      </c>
      <c r="K573" s="580">
        <v>0</v>
      </c>
      <c r="L573" s="387">
        <v>0</v>
      </c>
      <c r="M573" s="580">
        <v>0</v>
      </c>
      <c r="N573" s="409" t="e">
        <f t="shared" si="409"/>
        <v>#DIV/0!</v>
      </c>
      <c r="O573" s="427" t="e">
        <f t="shared" si="408"/>
        <v>#DIV/0!</v>
      </c>
    </row>
    <row r="574" spans="1:15" ht="13.8" x14ac:dyDescent="0.25">
      <c r="A574" s="379" t="s">
        <v>591</v>
      </c>
      <c r="B574" s="488"/>
      <c r="C574" s="391">
        <v>313</v>
      </c>
      <c r="D574" s="392" t="s">
        <v>44</v>
      </c>
      <c r="E574" s="387">
        <v>68800</v>
      </c>
      <c r="F574" s="387">
        <f t="shared" ref="F574:M574" si="412">F575</f>
        <v>10000</v>
      </c>
      <c r="G574" s="387">
        <f t="shared" si="412"/>
        <v>1327.2280841462605</v>
      </c>
      <c r="H574" s="387">
        <f>SUM(H575+H576)</f>
        <v>2000</v>
      </c>
      <c r="I574" s="387">
        <f t="shared" ref="I574:L574" si="413">SUM(I575+I576)</f>
        <v>15069</v>
      </c>
      <c r="J574" s="387">
        <f t="shared" si="413"/>
        <v>2000</v>
      </c>
      <c r="K574" s="387">
        <f t="shared" si="413"/>
        <v>15069</v>
      </c>
      <c r="L574" s="387">
        <f t="shared" si="413"/>
        <v>2000</v>
      </c>
      <c r="M574" s="580">
        <f t="shared" si="412"/>
        <v>12055.2</v>
      </c>
      <c r="N574" s="409">
        <f t="shared" si="409"/>
        <v>100</v>
      </c>
      <c r="O574" s="427">
        <f t="shared" si="408"/>
        <v>100</v>
      </c>
    </row>
    <row r="575" spans="1:15" ht="13.8" hidden="1" x14ac:dyDescent="0.25">
      <c r="A575" s="379" t="s">
        <v>591</v>
      </c>
      <c r="B575" s="488"/>
      <c r="C575" s="391">
        <v>3132</v>
      </c>
      <c r="D575" s="392" t="s">
        <v>185</v>
      </c>
      <c r="E575" s="387">
        <v>62000</v>
      </c>
      <c r="F575" s="387">
        <v>10000</v>
      </c>
      <c r="G575" s="387">
        <f>F575/7.5345</f>
        <v>1327.2280841462605</v>
      </c>
      <c r="H575" s="387">
        <v>1600</v>
      </c>
      <c r="I575" s="580">
        <f>H575*7.5345</f>
        <v>12055.2</v>
      </c>
      <c r="J575" s="387">
        <v>1600</v>
      </c>
      <c r="K575" s="580">
        <f>J575*7.5345</f>
        <v>12055.2</v>
      </c>
      <c r="L575" s="387">
        <v>1600</v>
      </c>
      <c r="M575" s="580">
        <f>L575*7.5345</f>
        <v>12055.2</v>
      </c>
      <c r="N575" s="409">
        <f t="shared" si="409"/>
        <v>100</v>
      </c>
      <c r="O575" s="427">
        <f t="shared" si="408"/>
        <v>100</v>
      </c>
    </row>
    <row r="576" spans="1:15" ht="13.8" hidden="1" x14ac:dyDescent="0.25">
      <c r="A576" s="379" t="s">
        <v>591</v>
      </c>
      <c r="B576" s="488"/>
      <c r="C576" s="391">
        <v>3132</v>
      </c>
      <c r="D576" s="392" t="s">
        <v>185</v>
      </c>
      <c r="E576" s="387">
        <v>62000</v>
      </c>
      <c r="F576" s="387">
        <v>10000</v>
      </c>
      <c r="G576" s="387">
        <f>F576/7.5345</f>
        <v>1327.2280841462605</v>
      </c>
      <c r="H576" s="387">
        <v>400</v>
      </c>
      <c r="I576" s="580">
        <f>H576*7.5345</f>
        <v>3013.8</v>
      </c>
      <c r="J576" s="387">
        <v>400</v>
      </c>
      <c r="K576" s="580">
        <f>J576*7.5345</f>
        <v>3013.8</v>
      </c>
      <c r="L576" s="387">
        <v>400</v>
      </c>
      <c r="M576" s="580">
        <f>L576*7.5345</f>
        <v>3013.8</v>
      </c>
      <c r="N576" s="409">
        <f t="shared" ref="N576" si="414">AVERAGE(J576/H576*100)</f>
        <v>100</v>
      </c>
      <c r="O576" s="427">
        <f t="shared" ref="O576" si="415">AVERAGE(L576/J576*100)</f>
        <v>100</v>
      </c>
    </row>
    <row r="577" spans="1:15" ht="13.8" x14ac:dyDescent="0.25">
      <c r="A577" s="382" t="s">
        <v>591</v>
      </c>
      <c r="B577" s="489"/>
      <c r="C577" s="378">
        <v>32</v>
      </c>
      <c r="D577" s="389" t="s">
        <v>47</v>
      </c>
      <c r="E577" s="386">
        <v>41500</v>
      </c>
      <c r="F577" s="386">
        <f t="shared" ref="F577:M577" si="416">F578</f>
        <v>5000</v>
      </c>
      <c r="G577" s="386">
        <f t="shared" si="416"/>
        <v>663.61404207313024</v>
      </c>
      <c r="H577" s="386">
        <f t="shared" si="416"/>
        <v>1000</v>
      </c>
      <c r="I577" s="386">
        <f t="shared" si="416"/>
        <v>7534.5</v>
      </c>
      <c r="J577" s="386">
        <f t="shared" si="416"/>
        <v>1000</v>
      </c>
      <c r="K577" s="386">
        <f t="shared" si="416"/>
        <v>7534.5</v>
      </c>
      <c r="L577" s="386">
        <f t="shared" si="416"/>
        <v>1000</v>
      </c>
      <c r="M577" s="581">
        <f t="shared" si="416"/>
        <v>6027.6</v>
      </c>
      <c r="N577" s="409">
        <f t="shared" si="405"/>
        <v>100</v>
      </c>
      <c r="O577" s="427">
        <f t="shared" si="408"/>
        <v>100</v>
      </c>
    </row>
    <row r="578" spans="1:15" ht="13.8" x14ac:dyDescent="0.25">
      <c r="A578" s="379" t="s">
        <v>591</v>
      </c>
      <c r="B578" s="488"/>
      <c r="C578" s="391">
        <v>321</v>
      </c>
      <c r="D578" s="392" t="s">
        <v>48</v>
      </c>
      <c r="E578" s="387" t="e">
        <f>SUM(E579:E586)</f>
        <v>#REF!</v>
      </c>
      <c r="F578" s="387">
        <f t="shared" ref="F578:M578" si="417">SUM(F579)</f>
        <v>5000</v>
      </c>
      <c r="G578" s="387">
        <f t="shared" si="417"/>
        <v>663.61404207313024</v>
      </c>
      <c r="H578" s="387">
        <f>SUM(H579+H580)</f>
        <v>1000</v>
      </c>
      <c r="I578" s="387">
        <f t="shared" ref="I578:L578" si="418">SUM(I579+I580)</f>
        <v>7534.5</v>
      </c>
      <c r="J578" s="387">
        <f t="shared" si="418"/>
        <v>1000</v>
      </c>
      <c r="K578" s="387">
        <f t="shared" si="418"/>
        <v>7534.5</v>
      </c>
      <c r="L578" s="387">
        <f t="shared" si="418"/>
        <v>1000</v>
      </c>
      <c r="M578" s="580">
        <f t="shared" si="417"/>
        <v>6027.6</v>
      </c>
      <c r="N578" s="409">
        <f t="shared" si="405"/>
        <v>100</v>
      </c>
      <c r="O578" s="427">
        <f t="shared" si="408"/>
        <v>100</v>
      </c>
    </row>
    <row r="579" spans="1:15" ht="13.8" hidden="1" x14ac:dyDescent="0.25">
      <c r="A579" s="379" t="s">
        <v>591</v>
      </c>
      <c r="B579" s="488"/>
      <c r="C579" s="391">
        <v>3212</v>
      </c>
      <c r="D579" s="392" t="s">
        <v>491</v>
      </c>
      <c r="E579" s="387">
        <v>18000</v>
      </c>
      <c r="F579" s="387">
        <v>5000</v>
      </c>
      <c r="G579" s="387">
        <f>F579/7.5345</f>
        <v>663.61404207313024</v>
      </c>
      <c r="H579" s="387">
        <v>800</v>
      </c>
      <c r="I579" s="580">
        <f>H579*7.5345</f>
        <v>6027.6</v>
      </c>
      <c r="J579" s="387">
        <v>800</v>
      </c>
      <c r="K579" s="580">
        <f>J579*7.5345</f>
        <v>6027.6</v>
      </c>
      <c r="L579" s="387">
        <v>800</v>
      </c>
      <c r="M579" s="580">
        <f>L579*7.5345</f>
        <v>6027.6</v>
      </c>
      <c r="N579" s="409">
        <f t="shared" si="405"/>
        <v>100</v>
      </c>
      <c r="O579" s="427">
        <f t="shared" si="408"/>
        <v>100</v>
      </c>
    </row>
    <row r="580" spans="1:15" ht="13.8" hidden="1" x14ac:dyDescent="0.25">
      <c r="A580" s="379" t="s">
        <v>591</v>
      </c>
      <c r="B580" s="488"/>
      <c r="C580" s="391">
        <v>3212</v>
      </c>
      <c r="D580" s="392" t="s">
        <v>491</v>
      </c>
      <c r="E580" s="387">
        <v>18000</v>
      </c>
      <c r="F580" s="387">
        <v>5000</v>
      </c>
      <c r="G580" s="387">
        <f>F580/7.5345</f>
        <v>663.61404207313024</v>
      </c>
      <c r="H580" s="387">
        <v>200</v>
      </c>
      <c r="I580" s="580">
        <f>H580*7.5345</f>
        <v>1506.9</v>
      </c>
      <c r="J580" s="387">
        <v>200</v>
      </c>
      <c r="K580" s="580">
        <f>J580*7.5345</f>
        <v>1506.9</v>
      </c>
      <c r="L580" s="387">
        <v>200</v>
      </c>
      <c r="M580" s="580">
        <f>L580*7.5345</f>
        <v>1506.9</v>
      </c>
      <c r="N580" s="409">
        <f t="shared" ref="N580" si="419">AVERAGE(J580/H580*100)</f>
        <v>100</v>
      </c>
      <c r="O580" s="427">
        <f t="shared" ref="O580" si="420">AVERAGE(L580/J580*100)</f>
        <v>100</v>
      </c>
    </row>
    <row r="581" spans="1:15" ht="14.4" thickBot="1" x14ac:dyDescent="0.3">
      <c r="A581" s="379" t="s">
        <v>490</v>
      </c>
      <c r="B581" s="488"/>
      <c r="C581" s="391">
        <v>322</v>
      </c>
      <c r="D581" s="392" t="s">
        <v>52</v>
      </c>
      <c r="E581" s="387" t="e">
        <f>SUM(E582:E586)</f>
        <v>#REF!</v>
      </c>
      <c r="F581" s="387">
        <f t="shared" ref="F581:M581" si="421">SUM(F582)</f>
        <v>0</v>
      </c>
      <c r="G581" s="387">
        <f t="shared" si="421"/>
        <v>0</v>
      </c>
      <c r="H581" s="387">
        <f t="shared" si="421"/>
        <v>0</v>
      </c>
      <c r="I581" s="580">
        <f t="shared" si="421"/>
        <v>0</v>
      </c>
      <c r="J581" s="387">
        <f t="shared" si="421"/>
        <v>0</v>
      </c>
      <c r="K581" s="580">
        <f t="shared" si="421"/>
        <v>0</v>
      </c>
      <c r="L581" s="387">
        <f t="shared" si="421"/>
        <v>0</v>
      </c>
      <c r="M581" s="580">
        <f t="shared" si="421"/>
        <v>0</v>
      </c>
      <c r="N581" s="404" t="e">
        <f t="shared" ref="N581:N582" si="422">AVERAGE(J581/F581*100)</f>
        <v>#DIV/0!</v>
      </c>
      <c r="O581" s="428" t="e">
        <f t="shared" ref="O581:O582" si="423">AVERAGE(M581/J581*100)</f>
        <v>#DIV/0!</v>
      </c>
    </row>
    <row r="582" spans="1:15" ht="14.4" hidden="1" thickBot="1" x14ac:dyDescent="0.3">
      <c r="A582" s="497" t="s">
        <v>490</v>
      </c>
      <c r="B582" s="495"/>
      <c r="C582" s="424">
        <v>3221</v>
      </c>
      <c r="D582" s="394" t="s">
        <v>53</v>
      </c>
      <c r="E582" s="385">
        <v>16000</v>
      </c>
      <c r="F582" s="385">
        <v>0</v>
      </c>
      <c r="G582" s="385">
        <v>0</v>
      </c>
      <c r="H582" s="385">
        <v>0</v>
      </c>
      <c r="I582" s="583">
        <v>0</v>
      </c>
      <c r="J582" s="385">
        <v>0</v>
      </c>
      <c r="K582" s="583">
        <v>0</v>
      </c>
      <c r="L582" s="385">
        <v>0</v>
      </c>
      <c r="M582" s="583">
        <v>0</v>
      </c>
      <c r="N582" s="408" t="e">
        <f t="shared" si="422"/>
        <v>#DIV/0!</v>
      </c>
      <c r="O582" s="435" t="e">
        <f t="shared" si="423"/>
        <v>#DIV/0!</v>
      </c>
    </row>
    <row r="583" spans="1:15" ht="18" thickBot="1" x14ac:dyDescent="0.3">
      <c r="A583" s="980" t="s">
        <v>110</v>
      </c>
      <c r="B583" s="981"/>
      <c r="C583" s="981"/>
      <c r="D583" s="982"/>
      <c r="E583" s="425" t="e">
        <f>SUM(E8+#REF!+#REF!+#REF!+#REF!+#REF!+#REF!+#REF!+#REF!+#REF!)</f>
        <v>#REF!</v>
      </c>
      <c r="F583" s="425" t="e">
        <f>SUM(F9+F85+F94+F108+F121+F128+F136+F150+F185+F192+F205+#REF!+F238+F245+F262+F271+F284+F297+F385+F431+#REF!+#REF!+F532+F564)</f>
        <v>#REF!</v>
      </c>
      <c r="G583" s="425" t="e">
        <f>SUM(G9+G85+G94+G108+G121+G128+G136+G150+G185+G192+G205+#REF!+G238+G245+G262+G271+G284+G297+G385+G431+#REF!+#REF!+G532+G564)</f>
        <v>#REF!</v>
      </c>
      <c r="H583" s="425">
        <f>SUM(H9+H85+H97+H108+H121+H128+H136+H143+H150+H185+H192+H205+H238+H245+H262+H271+H284+H297+H385+H431+H517+H532+H564)</f>
        <v>3156450</v>
      </c>
      <c r="I583" s="425" t="e">
        <f>SUM(I9+I85+I97+I108+I121+I128+I136+I143+I150+I185+I192+I205+#REF!+I238+I245+I262+I271+I284+I297+I385+I431+I517+I532+I564)</f>
        <v>#REF!</v>
      </c>
      <c r="J583" s="425">
        <f>SUM(J9+J85+J97+J108+J121+J128+J136+J143+J150+J185+J192+J205+J238+J245+J262+J271+J284+J297+J385+J431+J517+J532+J564)</f>
        <v>3242750</v>
      </c>
      <c r="K583" s="425" t="e">
        <f>SUM(K9+K85+K97+K108+K121+K128+K136+K143+K150+K185+K192+K205+#REF!+K238+K245+K262+K271+K284+K297+K385+K431+K517+K532+K564)</f>
        <v>#REF!</v>
      </c>
      <c r="L583" s="425">
        <f>SUM(L9+L85+L97+L108+L121+L128+L136+L143+L150+L185+L192+L205+L238+L245+L262+L271+L284+L297+L385+L431+L517+L532+L564)</f>
        <v>3334751</v>
      </c>
      <c r="M583" s="585" t="e">
        <f>SUM(M9+M85+M94+M108+M121+M128+M136+M150+M185+M192+M205+#REF!+M238+M245+M262+M271+M284+M297+M385+M431+#REF!+#REF!+M532+M564)</f>
        <v>#REF!</v>
      </c>
      <c r="N583" s="603">
        <f>AVERAGE(J583/H583*100)</f>
        <v>102.73408417684425</v>
      </c>
      <c r="O583" s="604">
        <f>AVERAGE(L583/J583*100)</f>
        <v>102.83712898003239</v>
      </c>
    </row>
    <row r="585" spans="1:15" x14ac:dyDescent="0.25">
      <c r="B585" s="655" t="s">
        <v>514</v>
      </c>
    </row>
  </sheetData>
  <mergeCells count="154">
    <mergeCell ref="A478:C480"/>
    <mergeCell ref="A564:D564"/>
    <mergeCell ref="N565:N567"/>
    <mergeCell ref="O565:O567"/>
    <mergeCell ref="N478:N480"/>
    <mergeCell ref="O478:O480"/>
    <mergeCell ref="N485:N487"/>
    <mergeCell ref="O485:O487"/>
    <mergeCell ref="N465:N467"/>
    <mergeCell ref="O465:O467"/>
    <mergeCell ref="N494:N496"/>
    <mergeCell ref="O494:O496"/>
    <mergeCell ref="N328:N330"/>
    <mergeCell ref="A431:D431"/>
    <mergeCell ref="N398:N400"/>
    <mergeCell ref="O398:O400"/>
    <mergeCell ref="O328:O330"/>
    <mergeCell ref="N334:N336"/>
    <mergeCell ref="N502:N504"/>
    <mergeCell ref="O502:O504"/>
    <mergeCell ref="A583:D583"/>
    <mergeCell ref="A532:D532"/>
    <mergeCell ref="N533:N535"/>
    <mergeCell ref="A517:D517"/>
    <mergeCell ref="N518:N520"/>
    <mergeCell ref="O518:O520"/>
    <mergeCell ref="N525:N527"/>
    <mergeCell ref="O525:O527"/>
    <mergeCell ref="N352:N354"/>
    <mergeCell ref="O334:O336"/>
    <mergeCell ref="N392:N394"/>
    <mergeCell ref="O472:O474"/>
    <mergeCell ref="N553:N555"/>
    <mergeCell ref="O553:O555"/>
    <mergeCell ref="O533:O535"/>
    <mergeCell ref="N472:N474"/>
    <mergeCell ref="N57:N59"/>
    <mergeCell ref="O57:O59"/>
    <mergeCell ref="N67:N69"/>
    <mergeCell ref="O67:O69"/>
    <mergeCell ref="N73:N75"/>
    <mergeCell ref="N109:N111"/>
    <mergeCell ref="O109:O111"/>
    <mergeCell ref="N129:N131"/>
    <mergeCell ref="O129:O131"/>
    <mergeCell ref="N79:N81"/>
    <mergeCell ref="O79:O81"/>
    <mergeCell ref="O115:O117"/>
    <mergeCell ref="N86:N88"/>
    <mergeCell ref="O86:O88"/>
    <mergeCell ref="O73:O75"/>
    <mergeCell ref="A85:D85"/>
    <mergeCell ref="N115:N117"/>
    <mergeCell ref="O137:O139"/>
    <mergeCell ref="N224:N226"/>
    <mergeCell ref="O224:O226"/>
    <mergeCell ref="N246:N248"/>
    <mergeCell ref="O246:O248"/>
    <mergeCell ref="N160:N162"/>
    <mergeCell ref="N144:N146"/>
    <mergeCell ref="O144:O146"/>
    <mergeCell ref="N151:N154"/>
    <mergeCell ref="O151:O154"/>
    <mergeCell ref="O160:O162"/>
    <mergeCell ref="D232:D233"/>
    <mergeCell ref="N173:N175"/>
    <mergeCell ref="O206:O208"/>
    <mergeCell ref="O173:O175"/>
    <mergeCell ref="N179:N181"/>
    <mergeCell ref="O179:O181"/>
    <mergeCell ref="N186:N188"/>
    <mergeCell ref="O186:O188"/>
    <mergeCell ref="A1:O1"/>
    <mergeCell ref="A2:O2"/>
    <mergeCell ref="N10:N12"/>
    <mergeCell ref="O10:O12"/>
    <mergeCell ref="N26:N28"/>
    <mergeCell ref="O26:O28"/>
    <mergeCell ref="A9:D9"/>
    <mergeCell ref="A3:F3"/>
    <mergeCell ref="A8:D8"/>
    <mergeCell ref="A7:D7"/>
    <mergeCell ref="O306:O308"/>
    <mergeCell ref="N316:N318"/>
    <mergeCell ref="O263:O265"/>
    <mergeCell ref="O272:O274"/>
    <mergeCell ref="N278:N280"/>
    <mergeCell ref="O278:O280"/>
    <mergeCell ref="O298:O300"/>
    <mergeCell ref="N306:N308"/>
    <mergeCell ref="N322:N324"/>
    <mergeCell ref="O322:O324"/>
    <mergeCell ref="N272:N274"/>
    <mergeCell ref="N263:N265"/>
    <mergeCell ref="N285:N287"/>
    <mergeCell ref="O285:O287"/>
    <mergeCell ref="N291:N293"/>
    <mergeCell ref="O291:O293"/>
    <mergeCell ref="N298:N300"/>
    <mergeCell ref="N458:N460"/>
    <mergeCell ref="O458:O460"/>
    <mergeCell ref="N446:N448"/>
    <mergeCell ref="O340:O342"/>
    <mergeCell ref="N346:N348"/>
    <mergeCell ref="O346:O348"/>
    <mergeCell ref="N415:N417"/>
    <mergeCell ref="O415:O417"/>
    <mergeCell ref="O352:O354"/>
    <mergeCell ref="O408:O410"/>
    <mergeCell ref="N340:N342"/>
    <mergeCell ref="O440:O442"/>
    <mergeCell ref="N386:N388"/>
    <mergeCell ref="O386:O388"/>
    <mergeCell ref="N377:N379"/>
    <mergeCell ref="O392:O394"/>
    <mergeCell ref="N360:N362"/>
    <mergeCell ref="O360:O362"/>
    <mergeCell ref="A128:D128"/>
    <mergeCell ref="A121:D121"/>
    <mergeCell ref="A108:D108"/>
    <mergeCell ref="A136:D136"/>
    <mergeCell ref="A94:D94"/>
    <mergeCell ref="A238:D238"/>
    <mergeCell ref="A245:D245"/>
    <mergeCell ref="A150:D150"/>
    <mergeCell ref="A185:D185"/>
    <mergeCell ref="A192:D192"/>
    <mergeCell ref="A205:D205"/>
    <mergeCell ref="D153:D154"/>
    <mergeCell ref="A143:D143"/>
    <mergeCell ref="A284:D284"/>
    <mergeCell ref="N137:N139"/>
    <mergeCell ref="O252:O254"/>
    <mergeCell ref="N193:N195"/>
    <mergeCell ref="O193:O195"/>
    <mergeCell ref="N199:N201"/>
    <mergeCell ref="O199:O201"/>
    <mergeCell ref="N452:N454"/>
    <mergeCell ref="O452:O454"/>
    <mergeCell ref="N408:N410"/>
    <mergeCell ref="N252:N254"/>
    <mergeCell ref="N207:N208"/>
    <mergeCell ref="N440:N442"/>
    <mergeCell ref="N370:N372"/>
    <mergeCell ref="O370:O372"/>
    <mergeCell ref="N432:N434"/>
    <mergeCell ref="O432:O434"/>
    <mergeCell ref="O377:O379"/>
    <mergeCell ref="A262:D262"/>
    <mergeCell ref="A271:D271"/>
    <mergeCell ref="A297:D297"/>
    <mergeCell ref="A385:D385"/>
    <mergeCell ref="O446:O448"/>
    <mergeCell ref="O316:O318"/>
  </mergeCells>
  <phoneticPr fontId="7" type="noConversion"/>
  <printOptions horizontalCentered="1"/>
  <pageMargins left="0.23622047244094491" right="0.23622047244094491" top="0.35433070866141736" bottom="0.47244094488188981" header="0.31496062992125984" footer="0.31496062992125984"/>
  <pageSetup paperSize="9" scale="57" fitToHeight="14" orientation="landscape" horizontalDpi="300" verticalDpi="300" r:id="rId1"/>
  <rowBreaks count="8" manualBreakCount="8">
    <brk id="56" max="14" man="1"/>
    <brk id="120" max="14" man="1"/>
    <brk id="178" max="14" man="1"/>
    <brk id="229" max="14" man="1"/>
    <brk id="283" max="14" man="1"/>
    <brk id="384" max="14" man="1"/>
    <brk id="430" max="14" man="1"/>
    <brk id="47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10</vt:i4>
      </vt:variant>
    </vt:vector>
  </HeadingPairs>
  <TitlesOfParts>
    <vt:vector size="13" baseType="lpstr">
      <vt:lpstr>POSEBNI DIO</vt:lpstr>
      <vt:lpstr>Opći dio</vt:lpstr>
      <vt:lpstr>Posebni</vt:lpstr>
      <vt:lpstr>BROJ_KONTA</vt:lpstr>
      <vt:lpstr>'Opći dio'!Ispis_naslova</vt:lpstr>
      <vt:lpstr>Posebni!Ispis_naslova</vt:lpstr>
      <vt:lpstr>Ostv_2004.</vt:lpstr>
      <vt:lpstr>Plan_2005</vt:lpstr>
      <vt:lpstr>'Opći dio'!Podrucje_ispisa</vt:lpstr>
      <vt:lpstr>Posebni!Podrucje_ispisa</vt:lpstr>
      <vt:lpstr>'POSEBNI DIO'!Podrucje_ispisa</vt:lpstr>
      <vt:lpstr>Procj_2005</vt:lpstr>
      <vt:lpstr>VRSTA_PRIHODA_IZDATAKA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Županija Brodsko-Posavska</dc:creator>
  <cp:lastModifiedBy>OPĆ GORNJA VRBA</cp:lastModifiedBy>
  <cp:lastPrinted>2024-11-14T12:35:56Z</cp:lastPrinted>
  <dcterms:created xsi:type="dcterms:W3CDTF">2005-09-08T07:24:42Z</dcterms:created>
  <dcterms:modified xsi:type="dcterms:W3CDTF">2024-11-15T13:50:51Z</dcterms:modified>
</cp:coreProperties>
</file>